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61" i="1"/>
  <c r="C253"/>
  <c r="C149"/>
  <c r="C141"/>
  <c r="C17"/>
  <c r="C9"/>
  <c r="C451"/>
  <c r="C445"/>
  <c r="C444"/>
  <c r="C442"/>
  <c r="C436"/>
  <c r="C435"/>
  <c r="C429"/>
  <c r="C427"/>
  <c r="C421"/>
  <c r="C420"/>
  <c r="C419"/>
  <c r="C413"/>
  <c r="C412"/>
  <c r="C404"/>
  <c r="C397"/>
  <c r="C396"/>
  <c r="C390"/>
  <c r="C389"/>
  <c r="C381"/>
  <c r="C375"/>
  <c r="C374"/>
  <c r="C368"/>
  <c r="C367"/>
  <c r="C359"/>
  <c r="C358"/>
  <c r="C353"/>
  <c r="C352"/>
  <c r="C346"/>
  <c r="C345"/>
  <c r="C337"/>
  <c r="C330"/>
  <c r="C329"/>
  <c r="C328"/>
  <c r="C323"/>
  <c r="C321"/>
  <c r="C310"/>
  <c r="C303"/>
  <c r="C302"/>
  <c r="C296"/>
  <c r="C295"/>
  <c r="C287"/>
  <c r="C286"/>
  <c r="C281"/>
  <c r="C280"/>
  <c r="C274"/>
  <c r="C273"/>
  <c r="C277" s="1"/>
  <c r="C265"/>
  <c r="C260"/>
  <c r="C259"/>
  <c r="C258"/>
  <c r="C257"/>
  <c r="C250"/>
  <c r="C249"/>
  <c r="C242"/>
  <c r="C241"/>
  <c r="C235"/>
  <c r="C234"/>
  <c r="C233"/>
  <c r="C227"/>
  <c r="C219"/>
  <c r="C218"/>
  <c r="C214"/>
  <c r="C213"/>
  <c r="C208"/>
  <c r="C200"/>
  <c r="C192"/>
  <c r="C191"/>
  <c r="C190"/>
  <c r="C185"/>
  <c r="C177"/>
  <c r="C172"/>
  <c r="C171"/>
  <c r="C170"/>
  <c r="C164"/>
  <c r="C163"/>
  <c r="C155"/>
  <c r="C148"/>
  <c r="C147"/>
  <c r="C140"/>
  <c r="C139"/>
  <c r="C131"/>
  <c r="C126"/>
  <c r="C125"/>
  <c r="C124"/>
  <c r="C118"/>
  <c r="C109"/>
  <c r="C84"/>
  <c r="C65"/>
  <c r="C39"/>
  <c r="C104"/>
  <c r="C103"/>
  <c r="C97"/>
  <c r="C90"/>
  <c r="C89"/>
  <c r="C83"/>
  <c r="C82"/>
  <c r="C76"/>
  <c r="C75"/>
  <c r="C68"/>
  <c r="C67"/>
  <c r="C60"/>
  <c r="C59"/>
  <c r="C53"/>
  <c r="C52"/>
  <c r="C44"/>
  <c r="C38"/>
  <c r="C37"/>
  <c r="C36"/>
  <c r="C30"/>
  <c r="C29"/>
  <c r="C21" l="1"/>
  <c r="C15"/>
  <c r="C14"/>
  <c r="C7" l="1"/>
  <c r="C6"/>
  <c r="C448"/>
  <c r="C450"/>
  <c r="C447"/>
  <c r="C424"/>
  <c r="C426"/>
  <c r="C425"/>
  <c r="C400"/>
  <c r="C403"/>
  <c r="C401"/>
  <c r="C402"/>
  <c r="C399"/>
  <c r="C378"/>
  <c r="C380"/>
  <c r="C379"/>
  <c r="C377"/>
  <c r="C371" l="1"/>
  <c r="C356"/>
  <c r="C357"/>
  <c r="C336"/>
  <c r="C333"/>
  <c r="C334"/>
  <c r="C309"/>
  <c r="C306"/>
  <c r="C308"/>
  <c r="C307"/>
  <c r="C284"/>
  <c r="C285"/>
  <c r="C264"/>
  <c r="C239"/>
  <c r="C240"/>
  <c r="C217"/>
  <c r="C216"/>
  <c r="C210"/>
  <c r="C198"/>
  <c r="C199"/>
  <c r="C194"/>
  <c r="C197"/>
  <c r="C175"/>
  <c r="C176"/>
  <c r="C153"/>
  <c r="C154"/>
  <c r="C129"/>
  <c r="C130"/>
  <c r="C108"/>
  <c r="C110"/>
  <c r="C105"/>
  <c r="C107"/>
  <c r="C88"/>
  <c r="C64"/>
  <c r="C63"/>
  <c r="C43"/>
  <c r="C289" l="1"/>
  <c r="C339"/>
  <c r="C254"/>
  <c r="C79"/>
  <c r="C20" l="1"/>
  <c r="C16"/>
  <c r="C19"/>
  <c r="C437"/>
  <c r="C415"/>
  <c r="C11" l="1"/>
  <c r="C23"/>
  <c r="C167"/>
  <c r="C299"/>
  <c r="C187"/>
  <c r="C230"/>
  <c r="C267"/>
  <c r="C315"/>
  <c r="C56"/>
  <c r="C383"/>
  <c r="C325"/>
  <c r="C221"/>
  <c r="C393"/>
  <c r="C416"/>
  <c r="C453"/>
  <c r="C100"/>
  <c r="C439"/>
  <c r="C91"/>
  <c r="C133"/>
  <c r="C179"/>
  <c r="C243"/>
  <c r="C361"/>
  <c r="C46"/>
  <c r="C69"/>
  <c r="C406"/>
  <c r="C144"/>
  <c r="C33"/>
  <c r="C112"/>
  <c r="C157"/>
  <c r="C202"/>
  <c r="C121"/>
  <c r="C349"/>
</calcChain>
</file>

<file path=xl/sharedStrings.xml><?xml version="1.0" encoding="utf-8"?>
<sst xmlns="http://schemas.openxmlformats.org/spreadsheetml/2006/main" count="413" uniqueCount="56">
  <si>
    <t>мкр.Октябрьский д.1</t>
  </si>
  <si>
    <t>Доходы, руб</t>
  </si>
  <si>
    <t xml:space="preserve">Жилищные услуги </t>
  </si>
  <si>
    <t>Эксплуатационные услуги(офисы)</t>
  </si>
  <si>
    <t>Пользование общим иммуществом многоквартирного дома</t>
  </si>
  <si>
    <t>Содержание консьержа</t>
  </si>
  <si>
    <t>Плата за домофон</t>
  </si>
  <si>
    <t>Итого</t>
  </si>
  <si>
    <t>Расходы, руб</t>
  </si>
  <si>
    <t>Благоустройство</t>
  </si>
  <si>
    <t>Восстановление пожарной сигнализации</t>
  </si>
  <si>
    <t>Исследование проб воды</t>
  </si>
  <si>
    <t>Содержание и ремонт домофонов</t>
  </si>
  <si>
    <t>Содержание и ремонт лифтов</t>
  </si>
  <si>
    <t>Содержание систем водоснабжения и энергоснабжения</t>
  </si>
  <si>
    <t>Текущий ремонт</t>
  </si>
  <si>
    <t>Уборка помещений</t>
  </si>
  <si>
    <t>Услуги управления</t>
  </si>
  <si>
    <t>мкр.Октябрьский д.2</t>
  </si>
  <si>
    <t>Содержание общедомовых антенн</t>
  </si>
  <si>
    <t xml:space="preserve">Итого </t>
  </si>
  <si>
    <t>мкр.Октябрьский д.3</t>
  </si>
  <si>
    <t>Дератизация, дезинсекция</t>
  </si>
  <si>
    <t>мкр.Октябрьский д.4</t>
  </si>
  <si>
    <t>мкр.Октябрьский д.5</t>
  </si>
  <si>
    <t>мкр.Октябрьский д.6</t>
  </si>
  <si>
    <t>мкр.Октябрьский д.7</t>
  </si>
  <si>
    <t>мкр.Октябрьский д.9</t>
  </si>
  <si>
    <t>мкр.Октябрьский д.10</t>
  </si>
  <si>
    <t>мкр.Октябрьский д.11</t>
  </si>
  <si>
    <t>Содержание систем отопление и ГВС</t>
  </si>
  <si>
    <t>мкр.Октябрьский д.13</t>
  </si>
  <si>
    <t>Итого расходы</t>
  </si>
  <si>
    <t>мкр.Октябрьский д.14</t>
  </si>
  <si>
    <t>ж.д Ингодинская 30</t>
  </si>
  <si>
    <t>ж.д Набережная 86</t>
  </si>
  <si>
    <t>Председатель совета дома</t>
  </si>
  <si>
    <t>мкр. Царский, дом 1</t>
  </si>
  <si>
    <t>Эксплуатационные услуги (нежилые помещения)</t>
  </si>
  <si>
    <t>мкр. Царский, дом 2</t>
  </si>
  <si>
    <t>мкр. Царский, дом 3</t>
  </si>
  <si>
    <t>мкр. Царский, дом 4</t>
  </si>
  <si>
    <t>мкр. Царский, дом 5</t>
  </si>
  <si>
    <t>мкр. Царский, дом 6</t>
  </si>
  <si>
    <t>Эксплуатационные услуги (офисы)</t>
  </si>
  <si>
    <t>Содержание и текущий ремонт помещений</t>
  </si>
  <si>
    <t>в том числе задолжность за жилищные услуги</t>
  </si>
  <si>
    <t>Содержание и текущий ремонт помещений сооружений</t>
  </si>
  <si>
    <t>Задолжность за коммунальные и жилищные услуги на 31.12.2018г.</t>
  </si>
  <si>
    <t>Содержание и ТР систем водоснабжения и канализации</t>
  </si>
  <si>
    <t>Монтаж двери из алюминевых конструкций (5 подъезд)</t>
  </si>
  <si>
    <t>Замена дверей подъездных</t>
  </si>
  <si>
    <t>Ремонт видеонаблюдения</t>
  </si>
  <si>
    <t>Ремонт ворот</t>
  </si>
  <si>
    <t>Монтаж двери из алюминивых конструкций</t>
  </si>
  <si>
    <t>Содержание систем отопления и ГВС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</si>
</sst>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0" fontId="1" fillId="0" borderId="0" xfId="0" applyFont="1" applyFill="1"/>
    <xf numFmtId="4" fontId="1" fillId="0" borderId="0" xfId="0" applyNumberFormat="1" applyFont="1" applyFill="1"/>
    <xf numFmtId="4" fontId="1" fillId="0" borderId="0" xfId="0" applyNumberFormat="1" applyFont="1"/>
    <xf numFmtId="4" fontId="1" fillId="0" borderId="0" xfId="0" applyNumberFormat="1" applyFont="1" applyBorder="1"/>
    <xf numFmtId="0" fontId="1" fillId="0" borderId="0" xfId="0" applyFont="1" applyBorder="1"/>
    <xf numFmtId="0" fontId="1" fillId="0" borderId="0" xfId="0" applyFont="1"/>
    <xf numFmtId="0" fontId="2" fillId="2" borderId="1" xfId="0" applyFont="1" applyFill="1" applyBorder="1"/>
    <xf numFmtId="0" fontId="1" fillId="2" borderId="2" xfId="0" applyFont="1" applyFill="1" applyBorder="1"/>
    <xf numFmtId="4" fontId="1" fillId="2" borderId="3" xfId="0" applyNumberFormat="1" applyFont="1" applyFill="1" applyBorder="1"/>
    <xf numFmtId="0" fontId="2" fillId="0" borderId="14" xfId="0" applyFont="1" applyFill="1" applyBorder="1"/>
    <xf numFmtId="0" fontId="1" fillId="0" borderId="15" xfId="0" applyFont="1" applyFill="1" applyBorder="1"/>
    <xf numFmtId="4" fontId="1" fillId="0" borderId="6" xfId="0" applyNumberFormat="1" applyFont="1" applyFill="1" applyBorder="1"/>
    <xf numFmtId="0" fontId="2" fillId="0" borderId="10" xfId="0" applyFont="1" applyFill="1" applyBorder="1"/>
    <xf numFmtId="0" fontId="1" fillId="0" borderId="0" xfId="0" applyFont="1" applyFill="1" applyBorder="1"/>
    <xf numFmtId="4" fontId="3" fillId="0" borderId="9" xfId="0" applyNumberFormat="1" applyFont="1" applyFill="1" applyBorder="1"/>
    <xf numFmtId="4" fontId="4" fillId="0" borderId="9" xfId="0" applyNumberFormat="1" applyFont="1" applyFill="1" applyBorder="1"/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1" fillId="0" borderId="0" xfId="0" applyNumberFormat="1" applyFont="1" applyBorder="1"/>
    <xf numFmtId="0" fontId="2" fillId="0" borderId="0" xfId="0" applyFont="1" applyFill="1" applyBorder="1"/>
    <xf numFmtId="4" fontId="2" fillId="0" borderId="9" xfId="0" applyNumberFormat="1" applyFont="1" applyFill="1" applyBorder="1"/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Fill="1" applyBorder="1"/>
    <xf numFmtId="4" fontId="4" fillId="0" borderId="13" xfId="0" applyNumberFormat="1" applyFont="1" applyFill="1" applyBorder="1"/>
    <xf numFmtId="4" fontId="2" fillId="0" borderId="3" xfId="0" applyNumberFormat="1" applyFont="1" applyFill="1" applyBorder="1"/>
    <xf numFmtId="0" fontId="2" fillId="0" borderId="4" xfId="0" applyFont="1" applyFill="1" applyBorder="1"/>
    <xf numFmtId="0" fontId="1" fillId="0" borderId="5" xfId="0" applyFont="1" applyFill="1" applyBorder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4" fontId="2" fillId="0" borderId="13" xfId="0" applyNumberFormat="1" applyFont="1" applyFill="1" applyBorder="1"/>
    <xf numFmtId="0" fontId="1" fillId="0" borderId="8" xfId="0" applyFont="1" applyFill="1" applyBorder="1"/>
    <xf numFmtId="0" fontId="2" fillId="0" borderId="0" xfId="0" applyFont="1" applyFill="1" applyBorder="1" applyAlignment="1"/>
    <xf numFmtId="0" fontId="2" fillId="0" borderId="16" xfId="0" applyFont="1" applyFill="1" applyBorder="1"/>
    <xf numFmtId="0" fontId="1" fillId="0" borderId="17" xfId="0" applyFont="1" applyFill="1" applyBorder="1"/>
    <xf numFmtId="4" fontId="1" fillId="0" borderId="18" xfId="0" applyNumberFormat="1" applyFont="1" applyFill="1" applyBorder="1"/>
    <xf numFmtId="0" fontId="2" fillId="2" borderId="11" xfId="0" applyFont="1" applyFill="1" applyBorder="1"/>
    <xf numFmtId="0" fontId="1" fillId="2" borderId="12" xfId="0" applyFont="1" applyFill="1" applyBorder="1"/>
    <xf numFmtId="4" fontId="1" fillId="2" borderId="13" xfId="0" applyNumberFormat="1" applyFont="1" applyFill="1" applyBorder="1"/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" fontId="2" fillId="0" borderId="0" xfId="0" applyNumberFormat="1" applyFont="1" applyFill="1" applyBorder="1"/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/>
    <xf numFmtId="4" fontId="3" fillId="2" borderId="3" xfId="0" applyNumberFormat="1" applyFont="1" applyFill="1" applyBorder="1"/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2" fillId="0" borderId="19" xfId="0" applyFont="1" applyFill="1" applyBorder="1" applyAlignment="1"/>
    <xf numFmtId="4" fontId="2" fillId="0" borderId="9" xfId="0" applyNumberFormat="1" applyFont="1" applyFill="1" applyBorder="1" applyAlignment="1"/>
    <xf numFmtId="0" fontId="2" fillId="2" borderId="16" xfId="0" applyFont="1" applyFill="1" applyBorder="1"/>
    <xf numFmtId="0" fontId="1" fillId="2" borderId="17" xfId="0" applyFont="1" applyFill="1" applyBorder="1"/>
    <xf numFmtId="4" fontId="1" fillId="2" borderId="19" xfId="0" applyNumberFormat="1" applyFont="1" applyFill="1" applyBorder="1"/>
    <xf numFmtId="4" fontId="1" fillId="0" borderId="19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57"/>
  <sheetViews>
    <sheetView tabSelected="1" workbookViewId="0">
      <selection activeCell="C267" sqref="C267"/>
    </sheetView>
  </sheetViews>
  <sheetFormatPr defaultRowHeight="15.75"/>
  <cols>
    <col min="1" max="1" width="16.7109375" style="3" customWidth="1"/>
    <col min="2" max="2" width="54" style="3" customWidth="1"/>
    <col min="3" max="3" width="14.85546875" style="4" customWidth="1"/>
    <col min="4" max="4" width="11.7109375" style="5" customWidth="1"/>
    <col min="5" max="5" width="10" style="5" bestFit="1" customWidth="1"/>
    <col min="6" max="6" width="9.140625" style="5"/>
    <col min="7" max="7" width="11.42578125" style="5" bestFit="1" customWidth="1"/>
    <col min="8" max="8" width="29" style="5" customWidth="1"/>
    <col min="9" max="9" width="19.5703125" style="8" customWidth="1"/>
    <col min="10" max="15" width="12.5703125" style="8" customWidth="1"/>
    <col min="16" max="16384" width="9.140625" style="8"/>
  </cols>
  <sheetData>
    <row r="1" spans="1:17" ht="16.5" thickBot="1">
      <c r="H1" s="6"/>
      <c r="I1" s="7"/>
      <c r="J1" s="7"/>
      <c r="K1" s="7"/>
      <c r="L1" s="7"/>
      <c r="M1" s="7"/>
      <c r="N1" s="7"/>
      <c r="O1" s="7"/>
      <c r="P1" s="7"/>
      <c r="Q1" s="7"/>
    </row>
    <row r="2" spans="1:17" ht="16.5" thickBot="1">
      <c r="A2" s="9" t="s">
        <v>0</v>
      </c>
      <c r="B2" s="10"/>
      <c r="C2" s="11"/>
      <c r="H2" s="6"/>
      <c r="I2" s="7"/>
      <c r="J2" s="7"/>
      <c r="K2" s="7"/>
      <c r="L2" s="7"/>
      <c r="M2" s="7"/>
      <c r="N2" s="7"/>
      <c r="O2" s="7"/>
      <c r="P2" s="7"/>
      <c r="Q2" s="7"/>
    </row>
    <row r="3" spans="1:17">
      <c r="A3" s="12" t="s">
        <v>1</v>
      </c>
      <c r="B3" s="13"/>
      <c r="C3" s="14"/>
      <c r="H3" s="6"/>
      <c r="I3" s="7"/>
      <c r="J3" s="7"/>
      <c r="K3" s="7"/>
      <c r="L3" s="7"/>
      <c r="M3" s="7"/>
      <c r="N3" s="7"/>
      <c r="O3" s="7"/>
      <c r="P3" s="7"/>
      <c r="Q3" s="7"/>
    </row>
    <row r="4" spans="1:17">
      <c r="A4" s="15" t="s">
        <v>48</v>
      </c>
      <c r="B4" s="16"/>
      <c r="C4" s="17">
        <v>2100109.04</v>
      </c>
      <c r="H4" s="6"/>
      <c r="I4" s="7"/>
      <c r="J4" s="7"/>
      <c r="K4" s="7"/>
      <c r="L4" s="7"/>
      <c r="M4" s="7"/>
      <c r="N4" s="7"/>
      <c r="O4" s="7"/>
      <c r="P4" s="7"/>
      <c r="Q4" s="7"/>
    </row>
    <row r="5" spans="1:17">
      <c r="A5" s="15" t="s">
        <v>46</v>
      </c>
      <c r="B5" s="16"/>
      <c r="C5" s="17">
        <v>580807.93000000005</v>
      </c>
      <c r="H5" s="6"/>
      <c r="I5" s="7"/>
      <c r="J5" s="7"/>
      <c r="K5" s="7"/>
      <c r="L5" s="7"/>
      <c r="M5" s="7"/>
      <c r="N5" s="7"/>
      <c r="O5" s="7"/>
      <c r="P5" s="7"/>
      <c r="Q5" s="7"/>
    </row>
    <row r="6" spans="1:17">
      <c r="A6" s="83" t="s">
        <v>2</v>
      </c>
      <c r="B6" s="84"/>
      <c r="C6" s="18">
        <f>1063589.4/1.18+1702048.02+1062757.92/1.18</f>
        <v>3504037.2742372882</v>
      </c>
      <c r="H6" s="6"/>
      <c r="I6" s="7"/>
      <c r="J6" s="7"/>
      <c r="K6" s="7"/>
      <c r="L6" s="7"/>
      <c r="M6" s="7"/>
      <c r="N6" s="7"/>
      <c r="O6" s="7"/>
      <c r="P6" s="7"/>
      <c r="Q6" s="7"/>
    </row>
    <row r="7" spans="1:17">
      <c r="A7" s="83" t="s">
        <v>44</v>
      </c>
      <c r="B7" s="84"/>
      <c r="C7" s="18">
        <f>64526.04/1.18+211208.58+197544.06/1.18</f>
        <v>433301.88508474577</v>
      </c>
      <c r="H7" s="6"/>
      <c r="I7" s="7"/>
      <c r="J7" s="7"/>
      <c r="K7" s="7"/>
      <c r="L7" s="7"/>
      <c r="M7" s="7"/>
      <c r="N7" s="7"/>
      <c r="O7" s="7"/>
      <c r="P7" s="7"/>
      <c r="Q7" s="7"/>
    </row>
    <row r="8" spans="1:17">
      <c r="A8" s="19" t="s">
        <v>4</v>
      </c>
      <c r="B8" s="20"/>
      <c r="C8" s="18">
        <v>12145.6</v>
      </c>
      <c r="H8" s="6"/>
      <c r="I8" s="7"/>
      <c r="J8" s="7"/>
      <c r="K8" s="7"/>
      <c r="L8" s="7"/>
      <c r="M8" s="7"/>
      <c r="N8" s="7"/>
      <c r="O8" s="7"/>
      <c r="P8" s="7"/>
      <c r="Q8" s="7"/>
    </row>
    <row r="9" spans="1:17">
      <c r="A9" s="19" t="s">
        <v>5</v>
      </c>
      <c r="B9" s="20"/>
      <c r="C9" s="18">
        <f>674100/1.18</f>
        <v>571271.18644067796</v>
      </c>
      <c r="H9" s="6"/>
      <c r="I9" s="7"/>
      <c r="J9" s="7"/>
      <c r="K9" s="7"/>
      <c r="L9" s="7"/>
      <c r="M9" s="7"/>
      <c r="N9" s="7"/>
      <c r="O9" s="7"/>
      <c r="P9" s="7"/>
      <c r="Q9" s="7"/>
    </row>
    <row r="10" spans="1:17" ht="15" customHeight="1">
      <c r="A10" s="19" t="s">
        <v>6</v>
      </c>
      <c r="B10" s="20"/>
      <c r="C10" s="18">
        <v>98994.36</v>
      </c>
      <c r="H10" s="6"/>
      <c r="I10" s="6"/>
      <c r="J10" s="21"/>
      <c r="K10" s="21"/>
      <c r="L10" s="21"/>
      <c r="M10" s="21"/>
      <c r="N10" s="21"/>
      <c r="O10" s="21"/>
      <c r="P10" s="7"/>
      <c r="Q10" s="7"/>
    </row>
    <row r="11" spans="1:17" ht="15" customHeight="1">
      <c r="A11" s="15" t="s">
        <v>7</v>
      </c>
      <c r="B11" s="22"/>
      <c r="C11" s="23">
        <f>SUM(C6:C10)</f>
        <v>4619750.3057627128</v>
      </c>
      <c r="H11" s="1"/>
      <c r="I11" s="24"/>
      <c r="J11" s="21"/>
      <c r="K11" s="21"/>
      <c r="L11" s="21"/>
      <c r="M11" s="21"/>
      <c r="N11" s="21"/>
      <c r="O11" s="21"/>
      <c r="P11" s="7"/>
      <c r="Q11" s="7"/>
    </row>
    <row r="12" spans="1:17" ht="15" customHeight="1">
      <c r="A12" s="15"/>
      <c r="B12" s="22"/>
      <c r="C12" s="23"/>
      <c r="H12" s="1"/>
      <c r="I12" s="24"/>
      <c r="J12" s="21"/>
      <c r="K12" s="21"/>
      <c r="L12" s="21"/>
      <c r="M12" s="21"/>
      <c r="N12" s="21"/>
      <c r="O12" s="21"/>
      <c r="P12" s="7"/>
      <c r="Q12" s="7"/>
    </row>
    <row r="13" spans="1:17" ht="15" customHeight="1">
      <c r="A13" s="79" t="s">
        <v>8</v>
      </c>
      <c r="B13" s="80"/>
      <c r="C13" s="14"/>
      <c r="D13" s="25"/>
      <c r="E13" s="25"/>
      <c r="F13" s="25"/>
      <c r="H13" s="1"/>
      <c r="I13" s="24"/>
      <c r="J13" s="21"/>
      <c r="K13" s="21"/>
      <c r="L13" s="21"/>
      <c r="M13" s="21"/>
      <c r="N13" s="21"/>
      <c r="O13" s="21"/>
      <c r="P13" s="7"/>
      <c r="Q13" s="7"/>
    </row>
    <row r="14" spans="1:17" ht="15" customHeight="1">
      <c r="A14" s="81" t="s">
        <v>9</v>
      </c>
      <c r="B14" s="82"/>
      <c r="C14" s="18">
        <f>10636.69/1.18+1063.45+490.35+29.98+404618.34</f>
        <v>415216.26406779664</v>
      </c>
      <c r="D14" s="25"/>
      <c r="E14" s="25"/>
      <c r="F14" s="25"/>
      <c r="H14" s="1"/>
      <c r="I14" s="24"/>
      <c r="J14" s="21"/>
      <c r="K14" s="21"/>
      <c r="L14" s="21"/>
      <c r="M14" s="21"/>
      <c r="N14" s="21"/>
      <c r="O14" s="21"/>
      <c r="P14" s="7"/>
      <c r="Q14" s="7"/>
    </row>
    <row r="15" spans="1:17" ht="15" customHeight="1">
      <c r="A15" s="83" t="s">
        <v>11</v>
      </c>
      <c r="B15" s="84"/>
      <c r="C15" s="18">
        <f>8712.88/1.18</f>
        <v>7383.796610169491</v>
      </c>
      <c r="D15" s="25"/>
      <c r="E15" s="25"/>
      <c r="F15" s="25"/>
      <c r="H15" s="1"/>
      <c r="I15" s="24"/>
      <c r="J15" s="21"/>
      <c r="K15" s="21"/>
      <c r="L15" s="21"/>
      <c r="M15" s="21"/>
      <c r="N15" s="21"/>
      <c r="O15" s="21"/>
      <c r="P15" s="7"/>
      <c r="Q15" s="7"/>
    </row>
    <row r="16" spans="1:17" ht="15" customHeight="1">
      <c r="A16" s="51" t="s">
        <v>45</v>
      </c>
      <c r="B16" s="20"/>
      <c r="C16" s="18">
        <f>211788.69+2195+24669.58</f>
        <v>238653.27000000002</v>
      </c>
      <c r="D16" s="25"/>
      <c r="E16" s="25"/>
      <c r="F16" s="25"/>
      <c r="H16" s="1"/>
      <c r="I16" s="24"/>
      <c r="J16" s="21"/>
      <c r="K16" s="21"/>
      <c r="L16" s="21"/>
      <c r="M16" s="21"/>
      <c r="N16" s="21"/>
      <c r="O16" s="21"/>
      <c r="P16" s="7"/>
      <c r="Q16" s="7"/>
    </row>
    <row r="17" spans="1:17" ht="15" customHeight="1">
      <c r="A17" s="51" t="s">
        <v>5</v>
      </c>
      <c r="B17" s="50"/>
      <c r="C17" s="18">
        <f>(21266.52+93184.69+119107.53+123057.55+114466.21)*1.302</f>
        <v>613349.41500000004</v>
      </c>
      <c r="D17" s="25"/>
      <c r="E17" s="25"/>
      <c r="F17" s="25"/>
      <c r="H17" s="1"/>
      <c r="I17" s="24"/>
      <c r="J17" s="21"/>
      <c r="K17" s="21"/>
      <c r="L17" s="21"/>
      <c r="M17" s="21"/>
      <c r="N17" s="21"/>
      <c r="O17" s="21"/>
      <c r="P17" s="7"/>
      <c r="Q17" s="7"/>
    </row>
    <row r="18" spans="1:17" ht="15" customHeight="1">
      <c r="A18" s="19" t="s">
        <v>12</v>
      </c>
      <c r="B18" s="20"/>
      <c r="C18" s="18">
        <v>92815.74</v>
      </c>
      <c r="D18" s="25"/>
      <c r="E18" s="25"/>
      <c r="F18" s="25"/>
      <c r="H18" s="1"/>
      <c r="I18" s="24"/>
      <c r="J18" s="21"/>
      <c r="K18" s="21"/>
      <c r="L18" s="21"/>
      <c r="M18" s="21"/>
      <c r="N18" s="21"/>
      <c r="O18" s="21"/>
      <c r="P18" s="7"/>
      <c r="Q18" s="7"/>
    </row>
    <row r="19" spans="1:17" ht="15" customHeight="1">
      <c r="A19" s="83" t="s">
        <v>13</v>
      </c>
      <c r="B19" s="84"/>
      <c r="C19" s="18">
        <f>903692.46</f>
        <v>903692.46</v>
      </c>
      <c r="D19" s="25"/>
      <c r="E19" s="25"/>
      <c r="F19" s="25"/>
      <c r="H19" s="1"/>
      <c r="I19" s="24"/>
      <c r="J19" s="21"/>
      <c r="K19" s="21"/>
      <c r="L19" s="21"/>
      <c r="M19" s="21"/>
      <c r="N19" s="21"/>
      <c r="O19" s="21"/>
      <c r="P19" s="7"/>
      <c r="Q19" s="7"/>
    </row>
    <row r="20" spans="1:17">
      <c r="A20" s="89" t="s">
        <v>14</v>
      </c>
      <c r="B20" s="90"/>
      <c r="C20" s="18">
        <f>1014292.74+6054.85+12392.83</f>
        <v>1032740.4199999999</v>
      </c>
      <c r="H20" s="6"/>
      <c r="I20" s="7"/>
      <c r="J20" s="7"/>
      <c r="K20" s="7"/>
      <c r="L20" s="7"/>
      <c r="M20" s="7"/>
      <c r="N20" s="7"/>
      <c r="O20" s="7"/>
      <c r="P20" s="7"/>
      <c r="Q20" s="7"/>
    </row>
    <row r="21" spans="1:17" ht="15" customHeight="1">
      <c r="A21" s="19" t="s">
        <v>16</v>
      </c>
      <c r="B21" s="20"/>
      <c r="C21" s="18">
        <f>17112.67/1.18+343456.15</f>
        <v>357958.41271186445</v>
      </c>
      <c r="D21" s="25"/>
      <c r="E21" s="25"/>
      <c r="F21" s="25"/>
      <c r="H21" s="2"/>
      <c r="I21" s="24"/>
      <c r="J21" s="21"/>
      <c r="K21" s="21"/>
      <c r="L21" s="21"/>
      <c r="M21" s="21"/>
      <c r="N21" s="21"/>
      <c r="O21" s="21"/>
      <c r="P21" s="7"/>
      <c r="Q21" s="7"/>
    </row>
    <row r="22" spans="1:17" ht="15" customHeight="1" thickBot="1">
      <c r="A22" s="85" t="s">
        <v>17</v>
      </c>
      <c r="B22" s="86"/>
      <c r="C22" s="26">
        <v>814900.01</v>
      </c>
      <c r="D22" s="25"/>
      <c r="E22" s="25"/>
      <c r="F22" s="25"/>
      <c r="H22" s="1"/>
      <c r="I22" s="24"/>
      <c r="J22" s="21"/>
      <c r="K22" s="21"/>
      <c r="L22" s="21"/>
      <c r="M22" s="21"/>
      <c r="N22" s="21"/>
      <c r="O22" s="21"/>
      <c r="P22" s="7"/>
      <c r="Q22" s="7"/>
    </row>
    <row r="23" spans="1:17" ht="15" customHeight="1" thickBot="1">
      <c r="A23" s="96" t="s">
        <v>7</v>
      </c>
      <c r="B23" s="97"/>
      <c r="C23" s="27">
        <f>SUM(C14:C22)</f>
        <v>4476709.7883898299</v>
      </c>
      <c r="D23" s="25"/>
      <c r="E23" s="25"/>
      <c r="F23" s="25"/>
      <c r="H23" s="1"/>
      <c r="I23" s="24"/>
      <c r="J23" s="21"/>
      <c r="K23" s="21"/>
      <c r="L23" s="21"/>
      <c r="M23" s="21"/>
      <c r="N23" s="21"/>
      <c r="O23" s="21"/>
      <c r="P23" s="7"/>
      <c r="Q23" s="7"/>
    </row>
    <row r="24" spans="1:17" ht="5.25" customHeight="1" thickBot="1">
      <c r="A24" s="53"/>
      <c r="B24" s="54"/>
      <c r="C24" s="27"/>
      <c r="D24" s="25"/>
      <c r="E24" s="25"/>
      <c r="F24" s="25"/>
      <c r="H24" s="1"/>
      <c r="I24" s="24"/>
      <c r="J24" s="21"/>
      <c r="K24" s="21"/>
      <c r="L24" s="21"/>
      <c r="M24" s="21"/>
      <c r="N24" s="21"/>
      <c r="O24" s="21"/>
      <c r="P24" s="7"/>
      <c r="Q24" s="7"/>
    </row>
    <row r="25" spans="1:17" ht="15" customHeight="1" thickBot="1">
      <c r="A25" s="9" t="s">
        <v>18</v>
      </c>
      <c r="B25" s="10"/>
      <c r="C25" s="11"/>
      <c r="D25" s="25"/>
      <c r="E25" s="25"/>
      <c r="F25" s="25"/>
      <c r="H25" s="1"/>
      <c r="I25" s="24"/>
      <c r="J25" s="21"/>
      <c r="K25" s="21"/>
      <c r="L25" s="21"/>
      <c r="M25" s="21"/>
      <c r="N25" s="21"/>
      <c r="O25" s="21"/>
      <c r="P25" s="7"/>
      <c r="Q25" s="7"/>
    </row>
    <row r="26" spans="1:17" ht="15" customHeight="1">
      <c r="A26" s="28" t="s">
        <v>1</v>
      </c>
      <c r="B26" s="29"/>
      <c r="C26" s="14"/>
      <c r="D26" s="25"/>
      <c r="E26" s="25"/>
      <c r="F26" s="25"/>
      <c r="H26" s="1"/>
      <c r="I26" s="24"/>
      <c r="J26" s="21"/>
      <c r="K26" s="21"/>
      <c r="L26" s="21"/>
      <c r="M26" s="21"/>
      <c r="N26" s="21"/>
      <c r="O26" s="21"/>
      <c r="P26" s="7"/>
      <c r="Q26" s="7"/>
    </row>
    <row r="27" spans="1:17" ht="15" customHeight="1">
      <c r="A27" s="15" t="s">
        <v>48</v>
      </c>
      <c r="B27" s="16"/>
      <c r="C27" s="17">
        <v>1305158.3600000001</v>
      </c>
      <c r="D27" s="25"/>
      <c r="E27" s="25"/>
      <c r="F27" s="25"/>
      <c r="H27" s="1"/>
      <c r="I27" s="24"/>
      <c r="J27" s="21"/>
      <c r="K27" s="21"/>
      <c r="L27" s="21"/>
      <c r="M27" s="21"/>
      <c r="N27" s="21"/>
      <c r="O27" s="21"/>
      <c r="P27" s="7"/>
      <c r="Q27" s="7"/>
    </row>
    <row r="28" spans="1:17" ht="15" customHeight="1">
      <c r="A28" s="15" t="s">
        <v>46</v>
      </c>
      <c r="B28" s="16"/>
      <c r="C28" s="17">
        <v>385432.7</v>
      </c>
      <c r="D28" s="25"/>
      <c r="E28" s="25"/>
      <c r="F28" s="25"/>
      <c r="H28" s="1"/>
      <c r="I28" s="24"/>
      <c r="J28" s="21"/>
      <c r="K28" s="21"/>
      <c r="L28" s="21"/>
      <c r="M28" s="21"/>
      <c r="N28" s="21"/>
      <c r="O28" s="21"/>
      <c r="P28" s="7"/>
      <c r="Q28" s="7"/>
    </row>
    <row r="29" spans="1:17" ht="15" customHeight="1">
      <c r="A29" s="83" t="s">
        <v>2</v>
      </c>
      <c r="B29" s="84"/>
      <c r="C29" s="18">
        <f>221786.64+504586.74/1.18+553001.28+681689.16/1.18</f>
        <v>1780106.4793220342</v>
      </c>
      <c r="D29" s="25"/>
      <c r="E29" s="25"/>
      <c r="F29" s="25"/>
      <c r="H29" s="1"/>
      <c r="I29" s="24"/>
      <c r="J29" s="21"/>
      <c r="K29" s="21"/>
      <c r="L29" s="21"/>
      <c r="M29" s="21"/>
      <c r="N29" s="21"/>
      <c r="O29" s="21"/>
      <c r="P29" s="7"/>
      <c r="Q29" s="7"/>
    </row>
    <row r="30" spans="1:17" ht="15" customHeight="1">
      <c r="A30" s="19" t="s">
        <v>3</v>
      </c>
      <c r="B30" s="20"/>
      <c r="C30" s="18">
        <f>13727.46/1.18+11136.06</f>
        <v>22769.500677966102</v>
      </c>
      <c r="D30" s="25"/>
      <c r="E30" s="25"/>
      <c r="F30" s="25"/>
      <c r="H30" s="1"/>
      <c r="I30" s="24"/>
      <c r="J30" s="21"/>
      <c r="K30" s="21"/>
      <c r="L30" s="21"/>
      <c r="M30" s="21"/>
      <c r="N30" s="21"/>
      <c r="O30" s="21"/>
      <c r="P30" s="7"/>
      <c r="Q30" s="7"/>
    </row>
    <row r="31" spans="1:17" ht="15" customHeight="1">
      <c r="A31" s="19" t="s">
        <v>4</v>
      </c>
      <c r="B31" s="20"/>
      <c r="C31" s="18">
        <v>128406.24</v>
      </c>
      <c r="D31" s="4"/>
      <c r="E31" s="25"/>
      <c r="F31" s="25"/>
      <c r="H31" s="6"/>
      <c r="I31" s="7"/>
      <c r="J31" s="7"/>
      <c r="K31" s="7"/>
      <c r="L31" s="7"/>
      <c r="M31" s="7"/>
      <c r="N31" s="7"/>
      <c r="O31" s="7"/>
      <c r="P31" s="7"/>
      <c r="Q31" s="7"/>
    </row>
    <row r="32" spans="1:17" ht="15" customHeight="1">
      <c r="A32" s="19" t="s">
        <v>6</v>
      </c>
      <c r="B32" s="20"/>
      <c r="C32" s="18">
        <v>54018.68</v>
      </c>
      <c r="D32" s="4"/>
      <c r="E32" s="25"/>
      <c r="F32" s="25"/>
      <c r="H32" s="6"/>
      <c r="I32" s="7"/>
      <c r="J32" s="7"/>
      <c r="K32" s="7"/>
      <c r="L32" s="7"/>
      <c r="M32" s="7"/>
      <c r="N32" s="7"/>
      <c r="O32" s="7"/>
      <c r="P32" s="7"/>
      <c r="Q32" s="7"/>
    </row>
    <row r="33" spans="1:17" ht="15" customHeight="1">
      <c r="A33" s="15" t="s">
        <v>7</v>
      </c>
      <c r="B33" s="22"/>
      <c r="C33" s="23">
        <f>SUM(C29:C32)</f>
        <v>1985300.9000000001</v>
      </c>
      <c r="D33" s="4"/>
      <c r="E33" s="25"/>
      <c r="F33" s="25"/>
      <c r="H33" s="6"/>
      <c r="I33" s="7"/>
      <c r="J33" s="7"/>
      <c r="K33" s="7"/>
      <c r="L33" s="7"/>
      <c r="M33" s="7"/>
      <c r="N33" s="7"/>
      <c r="O33" s="7"/>
      <c r="P33" s="7"/>
      <c r="Q33" s="7"/>
    </row>
    <row r="34" spans="1:17" ht="15" customHeight="1">
      <c r="A34" s="15"/>
      <c r="B34" s="22"/>
      <c r="C34" s="23"/>
      <c r="D34" s="4"/>
      <c r="E34" s="25"/>
      <c r="F34" s="25"/>
      <c r="H34" s="6"/>
      <c r="I34" s="7"/>
      <c r="J34" s="7"/>
      <c r="K34" s="7"/>
      <c r="L34" s="7"/>
      <c r="M34" s="7"/>
      <c r="N34" s="7"/>
      <c r="O34" s="7"/>
      <c r="P34" s="7"/>
      <c r="Q34" s="7"/>
    </row>
    <row r="35" spans="1:17" ht="15" customHeight="1">
      <c r="A35" s="79" t="s">
        <v>8</v>
      </c>
      <c r="B35" s="80"/>
      <c r="C35" s="14"/>
      <c r="E35" s="4"/>
      <c r="F35" s="4"/>
      <c r="G35" s="4"/>
    </row>
    <row r="36" spans="1:17" ht="15" customHeight="1">
      <c r="A36" s="81" t="s">
        <v>9</v>
      </c>
      <c r="B36" s="82"/>
      <c r="C36" s="18">
        <f>6999.1/1.18+832.45+490.35+29.98+220789.86</f>
        <v>228074.08067796609</v>
      </c>
      <c r="D36" s="25"/>
      <c r="E36" s="25"/>
      <c r="F36" s="25"/>
      <c r="H36" s="1"/>
      <c r="I36" s="24"/>
      <c r="J36" s="21"/>
      <c r="K36" s="21"/>
      <c r="L36" s="21"/>
      <c r="M36" s="21"/>
      <c r="N36" s="21"/>
      <c r="O36" s="21"/>
      <c r="P36" s="7"/>
      <c r="Q36" s="7"/>
    </row>
    <row r="37" spans="1:17" ht="15" customHeight="1">
      <c r="A37" s="19" t="s">
        <v>22</v>
      </c>
      <c r="B37" s="20"/>
      <c r="C37" s="18">
        <f>12681.82/1.18</f>
        <v>10747.305084745763</v>
      </c>
      <c r="D37" s="25"/>
      <c r="E37" s="25"/>
      <c r="F37" s="25"/>
      <c r="H37" s="1"/>
      <c r="I37" s="24"/>
      <c r="J37" s="21"/>
      <c r="K37" s="21"/>
      <c r="L37" s="21"/>
      <c r="M37" s="21"/>
      <c r="N37" s="21"/>
      <c r="O37" s="21"/>
      <c r="P37" s="7"/>
      <c r="Q37" s="7"/>
    </row>
    <row r="38" spans="1:17" ht="15" customHeight="1">
      <c r="A38" s="19" t="s">
        <v>11</v>
      </c>
      <c r="B38" s="20"/>
      <c r="C38" s="18">
        <f>4356/1.18</f>
        <v>3691.5254237288136</v>
      </c>
      <c r="D38" s="25"/>
      <c r="E38" s="25"/>
      <c r="F38" s="25"/>
      <c r="H38" s="1"/>
      <c r="I38" s="24"/>
      <c r="J38" s="21"/>
      <c r="K38" s="21"/>
      <c r="L38" s="21"/>
      <c r="M38" s="21"/>
      <c r="N38" s="21"/>
      <c r="O38" s="21"/>
      <c r="P38" s="7"/>
      <c r="Q38" s="7"/>
    </row>
    <row r="39" spans="1:17" ht="15" customHeight="1">
      <c r="A39" s="51" t="s">
        <v>47</v>
      </c>
      <c r="B39" s="20"/>
      <c r="C39" s="18">
        <f>103350.05+13461.56</f>
        <v>116811.61</v>
      </c>
      <c r="D39" s="25"/>
      <c r="E39" s="25"/>
      <c r="F39" s="25"/>
      <c r="H39" s="1"/>
      <c r="I39" s="24"/>
      <c r="J39" s="21"/>
      <c r="K39" s="21"/>
      <c r="L39" s="21"/>
      <c r="M39" s="21"/>
      <c r="N39" s="21"/>
      <c r="O39" s="21"/>
      <c r="P39" s="7"/>
      <c r="Q39" s="7"/>
    </row>
    <row r="40" spans="1:17" ht="15" customHeight="1">
      <c r="A40" s="83" t="s">
        <v>19</v>
      </c>
      <c r="B40" s="84"/>
      <c r="C40" s="18">
        <v>13396.32</v>
      </c>
      <c r="D40" s="25"/>
      <c r="E40" s="25"/>
      <c r="F40" s="25"/>
      <c r="H40" s="1"/>
      <c r="I40" s="24"/>
      <c r="J40" s="21"/>
      <c r="K40" s="21"/>
      <c r="L40" s="21"/>
      <c r="M40" s="21"/>
      <c r="N40" s="21"/>
      <c r="O40" s="21"/>
      <c r="P40" s="7"/>
      <c r="Q40" s="7"/>
    </row>
    <row r="41" spans="1:17" ht="15" customHeight="1">
      <c r="A41" s="19" t="s">
        <v>12</v>
      </c>
      <c r="B41" s="20"/>
      <c r="C41" s="18">
        <v>50647.17</v>
      </c>
      <c r="D41" s="25"/>
      <c r="E41" s="25"/>
      <c r="F41" s="25"/>
      <c r="H41" s="1"/>
      <c r="I41" s="24"/>
      <c r="J41" s="21"/>
      <c r="K41" s="21"/>
      <c r="L41" s="21"/>
      <c r="M41" s="21"/>
      <c r="N41" s="21"/>
      <c r="O41" s="21"/>
      <c r="P41" s="7"/>
      <c r="Q41" s="7"/>
    </row>
    <row r="42" spans="1:17" ht="15" customHeight="1">
      <c r="A42" s="83" t="s">
        <v>13</v>
      </c>
      <c r="B42" s="84"/>
      <c r="C42" s="18">
        <v>266368.38</v>
      </c>
      <c r="D42" s="25"/>
      <c r="E42" s="25"/>
      <c r="F42" s="25"/>
      <c r="H42" s="1"/>
      <c r="I42" s="24"/>
      <c r="J42" s="21"/>
      <c r="K42" s="21"/>
      <c r="L42" s="21"/>
      <c r="M42" s="21"/>
      <c r="N42" s="21"/>
      <c r="O42" s="21"/>
      <c r="P42" s="7"/>
      <c r="Q42" s="7"/>
    </row>
    <row r="43" spans="1:17" ht="15" customHeight="1">
      <c r="A43" s="89" t="s">
        <v>14</v>
      </c>
      <c r="B43" s="90"/>
      <c r="C43" s="18">
        <f>510307.38+3303.98+6762.45</f>
        <v>520373.81</v>
      </c>
      <c r="D43" s="25"/>
      <c r="E43" s="25"/>
      <c r="F43" s="25"/>
      <c r="H43" s="1"/>
      <c r="I43" s="24"/>
      <c r="J43" s="21"/>
      <c r="K43" s="21"/>
      <c r="L43" s="21"/>
      <c r="M43" s="21"/>
      <c r="N43" s="21"/>
      <c r="O43" s="21"/>
      <c r="P43" s="7"/>
      <c r="Q43" s="7"/>
    </row>
    <row r="44" spans="1:17" ht="15" customHeight="1">
      <c r="A44" s="83" t="s">
        <v>16</v>
      </c>
      <c r="B44" s="84"/>
      <c r="C44" s="18">
        <f>8634.07/1.18+187415.23</f>
        <v>194732.23847457627</v>
      </c>
      <c r="D44" s="25"/>
      <c r="E44" s="25"/>
      <c r="F44" s="25"/>
      <c r="H44" s="1"/>
      <c r="I44" s="24"/>
      <c r="J44" s="21"/>
      <c r="K44" s="21"/>
      <c r="L44" s="21"/>
      <c r="M44" s="21"/>
      <c r="N44" s="21"/>
      <c r="O44" s="21"/>
      <c r="P44" s="7"/>
      <c r="Q44" s="7"/>
    </row>
    <row r="45" spans="1:17" ht="15" customHeight="1" thickBot="1">
      <c r="A45" s="30" t="s">
        <v>17</v>
      </c>
      <c r="B45" s="31"/>
      <c r="C45" s="26">
        <v>444670.06</v>
      </c>
      <c r="D45" s="25"/>
      <c r="E45" s="25"/>
      <c r="F45" s="25"/>
      <c r="H45" s="1"/>
      <c r="I45" s="24"/>
      <c r="J45" s="21"/>
      <c r="K45" s="21"/>
      <c r="L45" s="21"/>
      <c r="M45" s="21"/>
      <c r="N45" s="21"/>
      <c r="O45" s="21"/>
      <c r="P45" s="7"/>
      <c r="Q45" s="7"/>
    </row>
    <row r="46" spans="1:17" ht="15" customHeight="1" thickBot="1">
      <c r="A46" s="87" t="s">
        <v>20</v>
      </c>
      <c r="B46" s="88"/>
      <c r="C46" s="32">
        <f>SUM(C36:C45)</f>
        <v>1849512.499661017</v>
      </c>
      <c r="D46" s="25"/>
      <c r="E46" s="25"/>
      <c r="F46" s="25"/>
      <c r="H46" s="1"/>
      <c r="I46" s="24"/>
      <c r="J46" s="21"/>
      <c r="K46" s="21"/>
      <c r="L46" s="21"/>
      <c r="M46" s="21"/>
      <c r="N46" s="21"/>
      <c r="O46" s="21"/>
      <c r="P46" s="7"/>
      <c r="Q46" s="7"/>
    </row>
    <row r="47" spans="1:17" ht="6.75" customHeight="1" thickBot="1">
      <c r="A47" s="57"/>
      <c r="B47" s="58"/>
      <c r="C47" s="32"/>
      <c r="D47" s="25"/>
      <c r="E47" s="25"/>
      <c r="F47" s="25"/>
      <c r="H47" s="1"/>
      <c r="I47" s="24"/>
      <c r="J47" s="21"/>
      <c r="K47" s="21"/>
      <c r="L47" s="21"/>
      <c r="M47" s="21"/>
      <c r="N47" s="21"/>
      <c r="O47" s="21"/>
      <c r="P47" s="7"/>
      <c r="Q47" s="7"/>
    </row>
    <row r="48" spans="1:17" ht="15" customHeight="1" thickBot="1">
      <c r="A48" s="9" t="s">
        <v>21</v>
      </c>
      <c r="B48" s="10"/>
      <c r="C48" s="11"/>
      <c r="D48" s="4"/>
      <c r="E48" s="4"/>
      <c r="F48" s="4"/>
      <c r="G48" s="25"/>
      <c r="H48" s="6"/>
      <c r="I48" s="7"/>
      <c r="J48" s="7"/>
      <c r="K48" s="7"/>
      <c r="L48" s="7"/>
      <c r="M48" s="7"/>
      <c r="N48" s="7"/>
      <c r="O48" s="7"/>
      <c r="P48" s="7"/>
    </row>
    <row r="49" spans="1:17" ht="15" customHeight="1">
      <c r="A49" s="15" t="s">
        <v>1</v>
      </c>
      <c r="B49" s="16"/>
      <c r="C49" s="14"/>
      <c r="D49" s="4"/>
      <c r="E49" s="25"/>
      <c r="F49" s="25"/>
    </row>
    <row r="50" spans="1:17" ht="15" customHeight="1">
      <c r="A50" s="15" t="s">
        <v>48</v>
      </c>
      <c r="B50" s="33"/>
      <c r="C50" s="17">
        <v>349210.62</v>
      </c>
      <c r="D50" s="4"/>
      <c r="E50" s="25"/>
      <c r="F50" s="25"/>
    </row>
    <row r="51" spans="1:17" ht="15" customHeight="1">
      <c r="A51" s="15" t="s">
        <v>46</v>
      </c>
      <c r="B51" s="16"/>
      <c r="C51" s="17">
        <v>107502.64</v>
      </c>
      <c r="D51" s="4"/>
      <c r="E51" s="25"/>
      <c r="F51" s="25"/>
    </row>
    <row r="52" spans="1:17" ht="15" customHeight="1">
      <c r="A52" s="83" t="s">
        <v>2</v>
      </c>
      <c r="B52" s="84"/>
      <c r="C52" s="18">
        <f>405718.98+500132.76/1.18</f>
        <v>829560.3020338983</v>
      </c>
      <c r="D52" s="4"/>
      <c r="E52" s="25"/>
      <c r="F52" s="25"/>
    </row>
    <row r="53" spans="1:17" ht="15" customHeight="1">
      <c r="A53" s="83" t="s">
        <v>3</v>
      </c>
      <c r="B53" s="84"/>
      <c r="C53" s="18">
        <f>84922.98+104685.18/1.18</f>
        <v>173639.23423728812</v>
      </c>
      <c r="D53" s="4"/>
      <c r="E53" s="25"/>
      <c r="F53" s="25"/>
    </row>
    <row r="54" spans="1:17" ht="15" customHeight="1">
      <c r="A54" s="19" t="s">
        <v>6</v>
      </c>
      <c r="B54" s="20"/>
      <c r="C54" s="18">
        <v>28594.29</v>
      </c>
      <c r="D54" s="4"/>
      <c r="E54" s="25"/>
      <c r="F54" s="25"/>
    </row>
    <row r="55" spans="1:17" ht="15" customHeight="1">
      <c r="A55" s="19" t="s">
        <v>4</v>
      </c>
      <c r="B55" s="20"/>
      <c r="C55" s="18">
        <v>6319.41</v>
      </c>
      <c r="D55" s="4"/>
      <c r="E55" s="4"/>
      <c r="F55" s="4"/>
      <c r="G55" s="4"/>
    </row>
    <row r="56" spans="1:17">
      <c r="A56" s="15" t="s">
        <v>7</v>
      </c>
      <c r="B56" s="22"/>
      <c r="C56" s="23">
        <f>SUM(C52:C55)</f>
        <v>1038113.2362711865</v>
      </c>
      <c r="D56" s="4"/>
      <c r="E56" s="4"/>
      <c r="F56" s="4"/>
      <c r="G56" s="4"/>
      <c r="H56" s="1"/>
    </row>
    <row r="57" spans="1:17">
      <c r="A57" s="15"/>
      <c r="B57" s="22"/>
      <c r="C57" s="23"/>
      <c r="D57" s="4"/>
      <c r="E57" s="4"/>
      <c r="F57" s="4"/>
      <c r="G57" s="4"/>
      <c r="H57" s="1"/>
    </row>
    <row r="58" spans="1:17">
      <c r="A58" s="79" t="s">
        <v>8</v>
      </c>
      <c r="B58" s="80"/>
      <c r="C58" s="14"/>
      <c r="E58" s="4"/>
      <c r="F58" s="4"/>
      <c r="G58" s="4"/>
      <c r="H58" s="2"/>
    </row>
    <row r="59" spans="1:17" ht="15" customHeight="1">
      <c r="A59" s="81" t="s">
        <v>9</v>
      </c>
      <c r="B59" s="82"/>
      <c r="C59" s="18">
        <f>6505.16/1.18+832.45/1.18+490.35/1.18+29.98+116873.07</f>
        <v>123536.91440677967</v>
      </c>
      <c r="D59" s="25"/>
      <c r="E59" s="25"/>
      <c r="F59" s="25"/>
      <c r="H59" s="1"/>
      <c r="I59" s="24"/>
      <c r="J59" s="21"/>
      <c r="K59" s="21"/>
      <c r="L59" s="21"/>
      <c r="M59" s="21"/>
      <c r="N59" s="21"/>
      <c r="O59" s="21"/>
      <c r="P59" s="7"/>
      <c r="Q59" s="7"/>
    </row>
    <row r="60" spans="1:17" ht="15" customHeight="1">
      <c r="A60" s="19" t="s">
        <v>11</v>
      </c>
      <c r="B60" s="20"/>
      <c r="C60" s="18">
        <f>4356.44/1.18</f>
        <v>3691.8983050847455</v>
      </c>
      <c r="D60" s="25"/>
      <c r="E60" s="25"/>
      <c r="F60" s="25"/>
      <c r="H60" s="1"/>
      <c r="I60" s="24"/>
      <c r="J60" s="21"/>
      <c r="K60" s="21"/>
      <c r="L60" s="21"/>
      <c r="M60" s="21"/>
      <c r="N60" s="21"/>
      <c r="O60" s="21"/>
      <c r="P60" s="7"/>
      <c r="Q60" s="7"/>
    </row>
    <row r="61" spans="1:17" ht="15" customHeight="1">
      <c r="A61" s="83" t="s">
        <v>19</v>
      </c>
      <c r="B61" s="84"/>
      <c r="C61" s="18">
        <v>7072.44</v>
      </c>
      <c r="D61" s="25"/>
      <c r="E61" s="25"/>
      <c r="F61" s="25"/>
      <c r="H61" s="1"/>
      <c r="I61" s="24"/>
      <c r="J61" s="21"/>
      <c r="K61" s="21"/>
      <c r="L61" s="21"/>
      <c r="M61" s="21"/>
      <c r="N61" s="21"/>
      <c r="O61" s="21"/>
      <c r="P61" s="7"/>
      <c r="Q61" s="7"/>
    </row>
    <row r="62" spans="1:17" ht="15" customHeight="1">
      <c r="A62" s="19" t="s">
        <v>12</v>
      </c>
      <c r="B62" s="20"/>
      <c r="C62" s="18">
        <v>26809.61</v>
      </c>
      <c r="D62" s="25"/>
      <c r="E62" s="25"/>
      <c r="F62" s="25"/>
      <c r="H62" s="1"/>
      <c r="I62" s="24"/>
      <c r="J62" s="21"/>
      <c r="K62" s="21"/>
      <c r="L62" s="21"/>
      <c r="M62" s="21"/>
      <c r="N62" s="21"/>
      <c r="O62" s="21"/>
      <c r="P62" s="7"/>
      <c r="Q62" s="7"/>
    </row>
    <row r="63" spans="1:17" ht="15" customHeight="1">
      <c r="A63" s="83" t="s">
        <v>13</v>
      </c>
      <c r="B63" s="84"/>
      <c r="C63" s="18">
        <f>231745.86</f>
        <v>231745.86</v>
      </c>
      <c r="D63" s="25"/>
      <c r="E63" s="25"/>
      <c r="F63" s="25"/>
      <c r="H63" s="1"/>
      <c r="I63" s="24"/>
      <c r="J63" s="21"/>
      <c r="K63" s="21"/>
      <c r="L63" s="21"/>
      <c r="M63" s="21"/>
      <c r="N63" s="21"/>
      <c r="O63" s="21"/>
      <c r="P63" s="7"/>
      <c r="Q63" s="7"/>
    </row>
    <row r="64" spans="1:17" ht="15" customHeight="1">
      <c r="A64" s="89" t="s">
        <v>14</v>
      </c>
      <c r="B64" s="90"/>
      <c r="C64" s="18">
        <f>260111.46+1748.93+3579.64</f>
        <v>265440.02999999997</v>
      </c>
      <c r="D64" s="25"/>
      <c r="E64" s="25"/>
      <c r="F64" s="25"/>
      <c r="H64" s="1"/>
      <c r="I64" s="24"/>
      <c r="J64" s="21"/>
      <c r="K64" s="21"/>
      <c r="L64" s="21"/>
      <c r="M64" s="21"/>
      <c r="N64" s="21"/>
      <c r="O64" s="21"/>
      <c r="P64" s="7"/>
      <c r="Q64" s="7"/>
    </row>
    <row r="65" spans="1:17" ht="15" customHeight="1">
      <c r="A65" s="83" t="s">
        <v>45</v>
      </c>
      <c r="B65" s="84"/>
      <c r="C65" s="18">
        <f>54748.38+7125.75</f>
        <v>61874.13</v>
      </c>
      <c r="D65" s="25"/>
      <c r="E65" s="25"/>
      <c r="F65" s="25"/>
      <c r="H65" s="1"/>
      <c r="I65" s="24"/>
      <c r="J65" s="21"/>
      <c r="K65" s="21"/>
      <c r="L65" s="21"/>
      <c r="M65" s="21"/>
      <c r="N65" s="21"/>
      <c r="O65" s="21"/>
      <c r="P65" s="7"/>
      <c r="Q65" s="7"/>
    </row>
    <row r="66" spans="1:17" ht="15" customHeight="1">
      <c r="A66" s="61" t="s">
        <v>51</v>
      </c>
      <c r="B66" s="62"/>
      <c r="C66" s="18">
        <v>27135</v>
      </c>
      <c r="D66" s="25"/>
      <c r="E66" s="25"/>
      <c r="F66" s="25"/>
      <c r="H66" s="1"/>
      <c r="I66" s="24"/>
      <c r="J66" s="21"/>
      <c r="K66" s="21"/>
      <c r="L66" s="21"/>
      <c r="M66" s="21"/>
      <c r="N66" s="21"/>
      <c r="O66" s="21"/>
      <c r="P66" s="7"/>
      <c r="Q66" s="7"/>
    </row>
    <row r="67" spans="1:17" ht="15" customHeight="1">
      <c r="A67" s="83" t="s">
        <v>16</v>
      </c>
      <c r="B67" s="84"/>
      <c r="C67" s="18">
        <f>10984.84/1.18+99206.51</f>
        <v>108515.69644067796</v>
      </c>
      <c r="D67" s="25"/>
      <c r="E67" s="25"/>
      <c r="F67" s="25"/>
      <c r="H67" s="1"/>
      <c r="I67" s="24"/>
      <c r="J67" s="21"/>
      <c r="K67" s="21"/>
      <c r="L67" s="21"/>
      <c r="M67" s="21"/>
      <c r="N67" s="21"/>
      <c r="O67" s="21"/>
      <c r="P67" s="7"/>
      <c r="Q67" s="7"/>
    </row>
    <row r="68" spans="1:17" ht="15" customHeight="1" thickBot="1">
      <c r="A68" s="30" t="s">
        <v>17</v>
      </c>
      <c r="B68" s="31"/>
      <c r="C68" s="26">
        <f>235381.98</f>
        <v>235381.98</v>
      </c>
      <c r="D68" s="25"/>
      <c r="E68" s="25"/>
      <c r="F68" s="25"/>
      <c r="H68" s="1"/>
      <c r="I68" s="24"/>
      <c r="J68" s="21"/>
      <c r="K68" s="21"/>
      <c r="L68" s="21"/>
      <c r="M68" s="21"/>
      <c r="N68" s="21"/>
      <c r="O68" s="21"/>
      <c r="P68" s="7"/>
      <c r="Q68" s="7"/>
    </row>
    <row r="69" spans="1:17" ht="15" customHeight="1" thickBot="1">
      <c r="A69" s="94" t="s">
        <v>7</v>
      </c>
      <c r="B69" s="95"/>
      <c r="C69" s="27">
        <f>SUM(C59:C68)</f>
        <v>1091203.5591525424</v>
      </c>
      <c r="D69" s="25"/>
      <c r="E69" s="25"/>
      <c r="F69" s="25"/>
      <c r="H69" s="1"/>
      <c r="I69" s="24"/>
      <c r="J69" s="21"/>
      <c r="K69" s="21"/>
      <c r="L69" s="21"/>
      <c r="M69" s="21"/>
      <c r="N69" s="21"/>
      <c r="O69" s="21"/>
      <c r="P69" s="7"/>
      <c r="Q69" s="7"/>
    </row>
    <row r="70" spans="1:17" ht="4.5" customHeight="1" thickBot="1">
      <c r="A70" s="55"/>
      <c r="B70" s="56"/>
      <c r="C70" s="27"/>
      <c r="D70" s="25"/>
      <c r="E70" s="25"/>
      <c r="F70" s="25"/>
      <c r="H70" s="1"/>
      <c r="I70" s="24"/>
      <c r="J70" s="21"/>
      <c r="K70" s="21"/>
      <c r="L70" s="21"/>
      <c r="M70" s="21"/>
      <c r="N70" s="21"/>
      <c r="O70" s="21"/>
      <c r="P70" s="7"/>
      <c r="Q70" s="7"/>
    </row>
    <row r="71" spans="1:17" ht="16.5" thickBot="1">
      <c r="A71" s="9" t="s">
        <v>23</v>
      </c>
      <c r="B71" s="10"/>
      <c r="C71" s="11"/>
      <c r="D71" s="4"/>
      <c r="E71" s="4"/>
      <c r="F71" s="4"/>
      <c r="G71" s="4"/>
    </row>
    <row r="72" spans="1:17">
      <c r="A72" s="12" t="s">
        <v>1</v>
      </c>
      <c r="B72" s="13"/>
      <c r="C72" s="14"/>
      <c r="D72" s="4"/>
      <c r="E72" s="4"/>
      <c r="F72" s="4"/>
      <c r="G72" s="4"/>
    </row>
    <row r="73" spans="1:17">
      <c r="A73" s="15" t="s">
        <v>48</v>
      </c>
      <c r="B73" s="16"/>
      <c r="C73" s="17">
        <v>757331.79</v>
      </c>
      <c r="D73" s="4"/>
      <c r="E73" s="4"/>
      <c r="F73" s="4"/>
      <c r="G73" s="4"/>
    </row>
    <row r="74" spans="1:17">
      <c r="A74" s="15" t="s">
        <v>46</v>
      </c>
      <c r="B74" s="16"/>
      <c r="C74" s="17">
        <v>234871.02</v>
      </c>
      <c r="D74" s="4"/>
      <c r="E74" s="4"/>
      <c r="F74" s="4"/>
      <c r="G74" s="4"/>
    </row>
    <row r="75" spans="1:17">
      <c r="A75" s="83" t="s">
        <v>2</v>
      </c>
      <c r="B75" s="84"/>
      <c r="C75" s="18">
        <f>291450.3+663077.82/1.18+203594.16+250972.26/1.18</f>
        <v>1269663.1718644067</v>
      </c>
      <c r="D75" s="4"/>
      <c r="E75" s="4"/>
      <c r="F75" s="4"/>
      <c r="G75" s="4"/>
    </row>
    <row r="76" spans="1:17">
      <c r="A76" s="83" t="s">
        <v>3</v>
      </c>
      <c r="B76" s="84"/>
      <c r="C76" s="18">
        <f>28999.86+35748.36/1.18</f>
        <v>59295.080338983054</v>
      </c>
      <c r="D76" s="4"/>
      <c r="E76" s="4"/>
      <c r="F76" s="4"/>
      <c r="G76" s="4"/>
    </row>
    <row r="77" spans="1:17">
      <c r="A77" s="19" t="s">
        <v>6</v>
      </c>
      <c r="B77" s="20"/>
      <c r="C77" s="18">
        <v>41556.300000000003</v>
      </c>
      <c r="D77" s="4"/>
      <c r="E77" s="4"/>
      <c r="F77" s="4"/>
      <c r="G77" s="4"/>
    </row>
    <row r="78" spans="1:17">
      <c r="A78" s="19" t="s">
        <v>4</v>
      </c>
      <c r="B78" s="20"/>
      <c r="C78" s="18">
        <v>8808.86</v>
      </c>
      <c r="D78" s="4"/>
      <c r="E78" s="4"/>
      <c r="F78" s="4"/>
      <c r="G78" s="4"/>
    </row>
    <row r="79" spans="1:17">
      <c r="A79" s="15" t="s">
        <v>7</v>
      </c>
      <c r="B79" s="22"/>
      <c r="C79" s="23">
        <f>SUM(C75:C78)</f>
        <v>1379323.4122033899</v>
      </c>
      <c r="D79" s="4"/>
      <c r="E79" s="4"/>
      <c r="F79" s="4"/>
      <c r="G79" s="4"/>
    </row>
    <row r="80" spans="1:17">
      <c r="A80" s="15"/>
      <c r="B80" s="22"/>
      <c r="C80" s="23"/>
      <c r="D80" s="4"/>
      <c r="E80" s="4"/>
      <c r="F80" s="4"/>
      <c r="G80" s="4"/>
    </row>
    <row r="81" spans="1:17">
      <c r="A81" s="79" t="s">
        <v>8</v>
      </c>
      <c r="B81" s="80"/>
      <c r="C81" s="14"/>
      <c r="E81" s="4"/>
      <c r="F81" s="4"/>
      <c r="G81" s="4"/>
    </row>
    <row r="82" spans="1:17" ht="15" customHeight="1">
      <c r="A82" s="81" t="s">
        <v>9</v>
      </c>
      <c r="B82" s="82"/>
      <c r="C82" s="18">
        <f>4222.72/1.18+832.45/1.18+490.35/1.18+29.98+169852.52</f>
        <v>174582.09322033898</v>
      </c>
      <c r="D82" s="25"/>
      <c r="E82" s="25"/>
      <c r="F82" s="25"/>
      <c r="H82" s="2"/>
      <c r="I82" s="24"/>
      <c r="J82" s="21"/>
      <c r="K82" s="21"/>
      <c r="L82" s="21"/>
      <c r="M82" s="21"/>
      <c r="N82" s="21"/>
      <c r="O82" s="21"/>
      <c r="P82" s="7"/>
      <c r="Q82" s="7"/>
    </row>
    <row r="83" spans="1:17" ht="15" customHeight="1">
      <c r="A83" s="19" t="s">
        <v>11</v>
      </c>
      <c r="B83" s="20"/>
      <c r="C83" s="18">
        <f>4356.44/1.18</f>
        <v>3691.8983050847455</v>
      </c>
      <c r="D83" s="25"/>
      <c r="E83" s="25"/>
      <c r="F83" s="25"/>
      <c r="H83" s="2"/>
      <c r="I83" s="24"/>
      <c r="J83" s="21"/>
      <c r="K83" s="21"/>
      <c r="L83" s="21"/>
      <c r="M83" s="21"/>
      <c r="N83" s="21"/>
      <c r="O83" s="21"/>
      <c r="P83" s="7"/>
      <c r="Q83" s="7"/>
    </row>
    <row r="84" spans="1:17" ht="15" customHeight="1">
      <c r="A84" s="51" t="s">
        <v>45</v>
      </c>
      <c r="B84" s="20"/>
      <c r="C84" s="18">
        <f>79481.66+10355.91</f>
        <v>89837.57</v>
      </c>
      <c r="D84" s="25"/>
      <c r="E84" s="25"/>
      <c r="F84" s="25"/>
      <c r="H84" s="2"/>
      <c r="I84" s="24"/>
      <c r="J84" s="21"/>
      <c r="K84" s="21"/>
      <c r="L84" s="21"/>
      <c r="M84" s="21"/>
      <c r="N84" s="21"/>
      <c r="O84" s="21"/>
      <c r="P84" s="7"/>
      <c r="Q84" s="7"/>
    </row>
    <row r="85" spans="1:17" ht="15" customHeight="1">
      <c r="A85" s="83" t="s">
        <v>19</v>
      </c>
      <c r="B85" s="84"/>
      <c r="C85" s="18">
        <v>10300</v>
      </c>
      <c r="D85" s="25"/>
      <c r="E85" s="25"/>
      <c r="F85" s="25"/>
      <c r="H85" s="1"/>
      <c r="I85" s="24"/>
      <c r="J85" s="21"/>
      <c r="K85" s="21"/>
      <c r="L85" s="21"/>
      <c r="M85" s="21"/>
      <c r="N85" s="21"/>
      <c r="O85" s="21"/>
      <c r="P85" s="7"/>
      <c r="Q85" s="7"/>
    </row>
    <row r="86" spans="1:17" ht="15" customHeight="1">
      <c r="A86" s="19" t="s">
        <v>12</v>
      </c>
      <c r="B86" s="20"/>
      <c r="C86" s="18">
        <v>38962.61</v>
      </c>
      <c r="D86" s="25"/>
      <c r="E86" s="25"/>
      <c r="F86" s="25"/>
      <c r="H86" s="1"/>
      <c r="I86" s="24"/>
      <c r="J86" s="21"/>
      <c r="K86" s="21"/>
      <c r="L86" s="21"/>
      <c r="M86" s="21"/>
      <c r="N86" s="21"/>
      <c r="O86" s="21"/>
      <c r="P86" s="7"/>
      <c r="Q86" s="7"/>
    </row>
    <row r="87" spans="1:17" ht="15" customHeight="1">
      <c r="A87" s="83" t="s">
        <v>13</v>
      </c>
      <c r="B87" s="84"/>
      <c r="C87" s="18">
        <v>109861.62</v>
      </c>
      <c r="D87" s="25"/>
      <c r="E87" s="25"/>
      <c r="F87" s="25"/>
      <c r="H87" s="1"/>
      <c r="I87" s="24"/>
      <c r="J87" s="21"/>
      <c r="K87" s="21"/>
      <c r="L87" s="21"/>
      <c r="M87" s="21"/>
      <c r="N87" s="21"/>
      <c r="O87" s="21"/>
      <c r="P87" s="7"/>
      <c r="Q87" s="7"/>
    </row>
    <row r="88" spans="1:17" ht="15" customHeight="1">
      <c r="A88" s="89" t="s">
        <v>14</v>
      </c>
      <c r="B88" s="90"/>
      <c r="C88" s="18">
        <f>400957.32+5202.32+2541.73</f>
        <v>408701.37</v>
      </c>
      <c r="D88" s="25"/>
      <c r="E88" s="25"/>
      <c r="F88" s="25"/>
      <c r="H88" s="1"/>
      <c r="I88" s="24"/>
      <c r="J88" s="21"/>
      <c r="K88" s="21"/>
      <c r="L88" s="21"/>
      <c r="M88" s="21"/>
      <c r="N88" s="21"/>
      <c r="O88" s="21"/>
      <c r="P88" s="7"/>
      <c r="Q88" s="7"/>
    </row>
    <row r="89" spans="1:17" ht="15" customHeight="1">
      <c r="A89" s="83" t="s">
        <v>16</v>
      </c>
      <c r="B89" s="84"/>
      <c r="C89" s="18">
        <f>8175.65/1.18+144177.58</f>
        <v>151106.09694915253</v>
      </c>
      <c r="D89" s="25"/>
      <c r="E89" s="25"/>
      <c r="F89" s="25"/>
      <c r="H89" s="1"/>
      <c r="I89" s="24"/>
      <c r="J89" s="21"/>
      <c r="K89" s="21"/>
      <c r="L89" s="21"/>
      <c r="M89" s="21"/>
      <c r="N89" s="21"/>
      <c r="O89" s="21"/>
      <c r="P89" s="7"/>
      <c r="Q89" s="7"/>
    </row>
    <row r="90" spans="1:17" ht="15" customHeight="1" thickBot="1">
      <c r="A90" s="30" t="s">
        <v>17</v>
      </c>
      <c r="B90" s="31"/>
      <c r="C90" s="26">
        <f>342082.42</f>
        <v>342082.42</v>
      </c>
      <c r="D90" s="25"/>
      <c r="E90" s="25"/>
      <c r="F90" s="25"/>
      <c r="H90" s="1"/>
      <c r="I90" s="24"/>
      <c r="J90" s="21"/>
      <c r="K90" s="21"/>
      <c r="L90" s="21"/>
      <c r="M90" s="21"/>
      <c r="N90" s="21"/>
      <c r="O90" s="21"/>
      <c r="P90" s="7"/>
      <c r="Q90" s="7"/>
    </row>
    <row r="91" spans="1:17" ht="15" customHeight="1" thickBot="1">
      <c r="A91" s="94" t="s">
        <v>7</v>
      </c>
      <c r="B91" s="95"/>
      <c r="C91" s="27">
        <f>SUM(C82:C90)</f>
        <v>1329125.6784745762</v>
      </c>
      <c r="D91" s="25"/>
      <c r="E91" s="25"/>
      <c r="F91" s="25"/>
      <c r="H91" s="1"/>
      <c r="I91" s="24"/>
      <c r="J91" s="21"/>
      <c r="K91" s="21"/>
      <c r="L91" s="21"/>
      <c r="M91" s="21"/>
      <c r="N91" s="21"/>
      <c r="O91" s="21"/>
      <c r="P91" s="7"/>
      <c r="Q91" s="7"/>
    </row>
    <row r="92" spans="1:17" ht="5.25" customHeight="1" thickBot="1">
      <c r="A92" s="55"/>
      <c r="B92" s="56"/>
      <c r="C92" s="27"/>
      <c r="D92" s="25"/>
      <c r="E92" s="25"/>
      <c r="F92" s="25"/>
      <c r="H92" s="1"/>
      <c r="I92" s="24"/>
      <c r="J92" s="21"/>
      <c r="K92" s="21"/>
      <c r="L92" s="21"/>
      <c r="M92" s="21"/>
      <c r="N92" s="21"/>
      <c r="O92" s="21"/>
      <c r="P92" s="7"/>
      <c r="Q92" s="7"/>
    </row>
    <row r="93" spans="1:17" ht="16.5" thickBot="1">
      <c r="A93" s="9" t="s">
        <v>24</v>
      </c>
      <c r="B93" s="10"/>
      <c r="C93" s="11"/>
      <c r="D93" s="4"/>
      <c r="E93" s="4"/>
      <c r="F93" s="4"/>
      <c r="G93" s="4"/>
    </row>
    <row r="94" spans="1:17">
      <c r="A94" s="70" t="s">
        <v>1</v>
      </c>
      <c r="B94" s="71"/>
      <c r="C94" s="72"/>
      <c r="D94" s="4"/>
      <c r="E94" s="4"/>
      <c r="F94" s="4"/>
      <c r="G94" s="4"/>
    </row>
    <row r="95" spans="1:17">
      <c r="A95" s="15" t="s">
        <v>48</v>
      </c>
      <c r="B95" s="34"/>
      <c r="C95" s="73">
        <v>686496.41</v>
      </c>
      <c r="D95" s="4"/>
      <c r="E95" s="4"/>
      <c r="F95" s="4"/>
      <c r="G95" s="4"/>
    </row>
    <row r="96" spans="1:17">
      <c r="A96" s="15" t="s">
        <v>46</v>
      </c>
      <c r="B96" s="34"/>
      <c r="C96" s="73">
        <v>204442.7</v>
      </c>
      <c r="D96" s="4"/>
      <c r="E96" s="4"/>
      <c r="F96" s="4"/>
      <c r="G96" s="4"/>
    </row>
    <row r="97" spans="1:17">
      <c r="A97" s="83" t="s">
        <v>2</v>
      </c>
      <c r="B97" s="84"/>
      <c r="C97" s="18">
        <f>570585.36/1.18+450591.06</f>
        <v>934137.9752542373</v>
      </c>
      <c r="D97" s="4"/>
      <c r="E97" s="4"/>
      <c r="F97" s="4"/>
      <c r="G97" s="4"/>
    </row>
    <row r="98" spans="1:17">
      <c r="A98" s="51" t="s">
        <v>6</v>
      </c>
      <c r="B98" s="52"/>
      <c r="C98" s="18">
        <v>26134.49</v>
      </c>
      <c r="E98" s="4"/>
      <c r="F98" s="4"/>
      <c r="G98" s="4"/>
    </row>
    <row r="99" spans="1:17">
      <c r="A99" s="51" t="s">
        <v>4</v>
      </c>
      <c r="B99" s="52"/>
      <c r="C99" s="18">
        <v>8808.86</v>
      </c>
      <c r="D99" s="4"/>
      <c r="E99" s="4"/>
      <c r="F99" s="4"/>
      <c r="G99" s="4"/>
    </row>
    <row r="100" spans="1:17">
      <c r="A100" s="15" t="s">
        <v>7</v>
      </c>
      <c r="B100" s="22"/>
      <c r="C100" s="23">
        <f>SUM(C97:C99)</f>
        <v>969081.32525423728</v>
      </c>
      <c r="D100" s="4"/>
      <c r="E100" s="4"/>
      <c r="F100" s="4"/>
      <c r="G100" s="4"/>
    </row>
    <row r="101" spans="1:17">
      <c r="A101" s="15"/>
      <c r="B101" s="22"/>
      <c r="C101" s="23"/>
      <c r="D101" s="4"/>
      <c r="E101" s="4"/>
      <c r="F101" s="4"/>
      <c r="G101" s="4"/>
    </row>
    <row r="102" spans="1:17">
      <c r="A102" s="79" t="s">
        <v>8</v>
      </c>
      <c r="B102" s="80"/>
      <c r="C102" s="14"/>
      <c r="D102" s="4"/>
      <c r="E102" s="4"/>
      <c r="F102" s="4"/>
      <c r="G102" s="4"/>
    </row>
    <row r="103" spans="1:17" ht="15" customHeight="1">
      <c r="A103" s="81" t="s">
        <v>9</v>
      </c>
      <c r="B103" s="82"/>
      <c r="C103" s="18">
        <f>2716.05/1.18+1415.08/1.18+832.45/1.18+29.97+106819.18</f>
        <v>111055.57372881356</v>
      </c>
      <c r="D103" s="25"/>
      <c r="E103" s="25"/>
      <c r="F103" s="25"/>
      <c r="H103" s="1"/>
      <c r="I103" s="24"/>
      <c r="J103" s="21"/>
      <c r="K103" s="21"/>
      <c r="L103" s="21"/>
      <c r="M103" s="21"/>
      <c r="N103" s="21"/>
      <c r="O103" s="21"/>
      <c r="P103" s="7"/>
      <c r="Q103" s="7"/>
    </row>
    <row r="104" spans="1:17" ht="15" customHeight="1">
      <c r="A104" s="51" t="s">
        <v>11</v>
      </c>
      <c r="B104" s="52"/>
      <c r="C104" s="18">
        <f>4356.44/1.18</f>
        <v>3691.8983050847455</v>
      </c>
      <c r="D104" s="25"/>
      <c r="E104" s="25"/>
      <c r="F104" s="25"/>
      <c r="H104" s="1"/>
      <c r="I104" s="24"/>
      <c r="J104" s="21"/>
      <c r="K104" s="21"/>
      <c r="L104" s="21"/>
      <c r="M104" s="21"/>
      <c r="N104" s="21"/>
      <c r="O104" s="21"/>
      <c r="P104" s="7"/>
      <c r="Q104" s="7"/>
    </row>
    <row r="105" spans="1:17" ht="15" customHeight="1">
      <c r="A105" s="83" t="s">
        <v>19</v>
      </c>
      <c r="B105" s="84"/>
      <c r="C105" s="18">
        <f>6495</f>
        <v>6495</v>
      </c>
      <c r="D105" s="25"/>
      <c r="E105" s="25"/>
      <c r="F105" s="25"/>
      <c r="H105" s="1"/>
      <c r="I105" s="24"/>
      <c r="J105" s="21"/>
      <c r="K105" s="21"/>
      <c r="L105" s="21"/>
      <c r="M105" s="21"/>
      <c r="N105" s="21"/>
      <c r="O105" s="21"/>
      <c r="P105" s="7"/>
      <c r="Q105" s="7"/>
    </row>
    <row r="106" spans="1:17" ht="15" customHeight="1">
      <c r="A106" s="51" t="s">
        <v>12</v>
      </c>
      <c r="B106" s="52"/>
      <c r="C106" s="18">
        <v>24503.34</v>
      </c>
      <c r="D106" s="25"/>
      <c r="E106" s="25"/>
      <c r="F106" s="25"/>
      <c r="H106" s="1"/>
      <c r="I106" s="24"/>
      <c r="J106" s="21"/>
      <c r="K106" s="21"/>
      <c r="L106" s="21"/>
      <c r="M106" s="21"/>
      <c r="N106" s="21"/>
      <c r="O106" s="21"/>
      <c r="P106" s="7"/>
      <c r="Q106" s="7"/>
    </row>
    <row r="107" spans="1:17" ht="15" customHeight="1">
      <c r="A107" s="83" t="s">
        <v>13</v>
      </c>
      <c r="B107" s="84"/>
      <c r="C107" s="18">
        <f>212828.52</f>
        <v>212828.52</v>
      </c>
      <c r="D107" s="25"/>
      <c r="E107" s="25"/>
      <c r="F107" s="25"/>
      <c r="H107" s="1"/>
      <c r="I107" s="24"/>
      <c r="J107" s="21"/>
      <c r="K107" s="21"/>
      <c r="L107" s="21"/>
      <c r="M107" s="21"/>
      <c r="N107" s="21"/>
      <c r="O107" s="21"/>
      <c r="P107" s="7"/>
      <c r="Q107" s="7"/>
    </row>
    <row r="108" spans="1:17" ht="15" customHeight="1">
      <c r="A108" s="89" t="s">
        <v>14</v>
      </c>
      <c r="B108" s="90"/>
      <c r="C108" s="18">
        <f>238875.6+1598.48+3271.71</f>
        <v>243745.79</v>
      </c>
      <c r="D108" s="25"/>
      <c r="E108" s="25"/>
      <c r="F108" s="25"/>
      <c r="H108" s="1"/>
      <c r="I108" s="24"/>
      <c r="J108" s="21"/>
      <c r="K108" s="21"/>
      <c r="L108" s="21"/>
      <c r="M108" s="21"/>
      <c r="N108" s="21"/>
      <c r="O108" s="21"/>
      <c r="P108" s="7"/>
      <c r="Q108" s="7"/>
    </row>
    <row r="109" spans="1:17" ht="15" customHeight="1">
      <c r="A109" s="83" t="s">
        <v>45</v>
      </c>
      <c r="B109" s="84"/>
      <c r="C109" s="18">
        <f>49927.59+6512.77</f>
        <v>56440.36</v>
      </c>
      <c r="D109" s="25"/>
      <c r="E109" s="25"/>
      <c r="F109" s="25"/>
      <c r="H109" s="1"/>
      <c r="I109" s="24"/>
      <c r="J109" s="21"/>
      <c r="K109" s="21"/>
      <c r="L109" s="21"/>
      <c r="M109" s="21"/>
      <c r="N109" s="21"/>
      <c r="O109" s="21"/>
      <c r="P109" s="7"/>
      <c r="Q109" s="7"/>
    </row>
    <row r="110" spans="1:17" ht="15" customHeight="1">
      <c r="A110" s="83" t="s">
        <v>16</v>
      </c>
      <c r="B110" s="84"/>
      <c r="C110" s="18">
        <f>7985.3+90672.37</f>
        <v>98657.67</v>
      </c>
      <c r="D110" s="25"/>
      <c r="E110" s="25"/>
      <c r="F110" s="25"/>
      <c r="H110" s="1"/>
      <c r="I110" s="24"/>
      <c r="J110" s="21"/>
      <c r="K110" s="21"/>
      <c r="L110" s="21"/>
      <c r="M110" s="21"/>
      <c r="N110" s="21"/>
      <c r="O110" s="21"/>
      <c r="P110" s="7"/>
      <c r="Q110" s="7"/>
    </row>
    <row r="111" spans="1:17" ht="15" customHeight="1">
      <c r="A111" s="51" t="s">
        <v>17</v>
      </c>
      <c r="B111" s="52"/>
      <c r="C111" s="18">
        <v>215133.47</v>
      </c>
      <c r="D111" s="25"/>
      <c r="E111" s="25"/>
      <c r="F111" s="25"/>
      <c r="H111" s="1"/>
      <c r="I111" s="24"/>
      <c r="J111" s="21"/>
      <c r="K111" s="21"/>
      <c r="L111" s="21"/>
      <c r="M111" s="21"/>
      <c r="N111" s="21"/>
      <c r="O111" s="21"/>
      <c r="P111" s="7"/>
      <c r="Q111" s="7"/>
    </row>
    <row r="112" spans="1:17" ht="15" customHeight="1" thickBot="1">
      <c r="A112" s="91" t="s">
        <v>7</v>
      </c>
      <c r="B112" s="92"/>
      <c r="C112" s="32">
        <f>SUM(C103:C111)</f>
        <v>972551.62203389837</v>
      </c>
      <c r="D112" s="25"/>
      <c r="E112" s="25"/>
      <c r="F112" s="25"/>
      <c r="H112" s="2"/>
      <c r="I112" s="24"/>
      <c r="J112" s="21"/>
      <c r="K112" s="21"/>
      <c r="L112" s="21"/>
      <c r="M112" s="21"/>
      <c r="N112" s="21"/>
      <c r="O112" s="21"/>
      <c r="P112" s="7"/>
      <c r="Q112" s="7"/>
    </row>
    <row r="113" spans="1:17" ht="4.5" customHeight="1" thickBot="1">
      <c r="A113" s="59"/>
      <c r="B113" s="60"/>
      <c r="C113" s="32"/>
      <c r="D113" s="25"/>
      <c r="E113" s="25"/>
      <c r="F113" s="25"/>
      <c r="H113" s="2"/>
      <c r="I113" s="24"/>
      <c r="J113" s="21"/>
      <c r="K113" s="21"/>
      <c r="L113" s="21"/>
      <c r="M113" s="21"/>
      <c r="N113" s="21"/>
      <c r="O113" s="21"/>
      <c r="P113" s="7"/>
      <c r="Q113" s="7"/>
    </row>
    <row r="114" spans="1:17" ht="16.5" thickBot="1">
      <c r="A114" s="9" t="s">
        <v>25</v>
      </c>
      <c r="B114" s="10"/>
      <c r="C114" s="11"/>
      <c r="D114" s="4"/>
      <c r="E114" s="4"/>
      <c r="F114" s="4"/>
      <c r="G114" s="4"/>
    </row>
    <row r="115" spans="1:17">
      <c r="A115" s="35" t="s">
        <v>1</v>
      </c>
      <c r="B115" s="36"/>
      <c r="C115" s="37"/>
      <c r="D115" s="4"/>
      <c r="E115" s="4"/>
      <c r="F115" s="4"/>
      <c r="G115" s="4"/>
    </row>
    <row r="116" spans="1:17">
      <c r="A116" s="15" t="s">
        <v>48</v>
      </c>
      <c r="B116" s="33"/>
      <c r="C116" s="17">
        <v>458087.49</v>
      </c>
      <c r="D116" s="4"/>
      <c r="E116" s="4"/>
      <c r="F116" s="4"/>
      <c r="G116" s="4"/>
    </row>
    <row r="117" spans="1:17">
      <c r="A117" s="15" t="s">
        <v>46</v>
      </c>
      <c r="B117" s="16"/>
      <c r="C117" s="17">
        <v>152248.5</v>
      </c>
      <c r="D117" s="4"/>
      <c r="E117" s="4"/>
      <c r="F117" s="4"/>
      <c r="G117" s="4"/>
    </row>
    <row r="118" spans="1:17">
      <c r="A118" s="83" t="s">
        <v>2</v>
      </c>
      <c r="B118" s="84"/>
      <c r="C118" s="18">
        <f>502568.94/1.18+396878.1</f>
        <v>822783.98135593219</v>
      </c>
      <c r="D118" s="4"/>
      <c r="E118" s="4"/>
      <c r="F118" s="4"/>
      <c r="G118" s="4"/>
    </row>
    <row r="119" spans="1:17">
      <c r="A119" s="19" t="s">
        <v>6</v>
      </c>
      <c r="B119" s="20"/>
      <c r="C119" s="18">
        <v>22977.37</v>
      </c>
      <c r="D119" s="4"/>
      <c r="E119" s="4"/>
      <c r="F119" s="4"/>
      <c r="G119" s="4"/>
    </row>
    <row r="120" spans="1:17">
      <c r="A120" s="19" t="s">
        <v>4</v>
      </c>
      <c r="B120" s="20"/>
      <c r="C120" s="18">
        <v>6319.41</v>
      </c>
      <c r="D120" s="4"/>
      <c r="E120" s="4"/>
      <c r="F120" s="4"/>
      <c r="G120" s="4"/>
    </row>
    <row r="121" spans="1:17">
      <c r="A121" s="15" t="s">
        <v>7</v>
      </c>
      <c r="B121" s="22"/>
      <c r="C121" s="23">
        <f>SUM(C118:C120)</f>
        <v>852080.76135593222</v>
      </c>
      <c r="D121" s="4"/>
      <c r="E121" s="4"/>
      <c r="F121" s="4"/>
      <c r="G121" s="4"/>
    </row>
    <row r="122" spans="1:17">
      <c r="A122" s="15"/>
      <c r="B122" s="22"/>
      <c r="C122" s="23"/>
      <c r="D122" s="4"/>
      <c r="E122" s="4"/>
      <c r="F122" s="4"/>
      <c r="G122" s="4"/>
    </row>
    <row r="123" spans="1:17">
      <c r="A123" s="79" t="s">
        <v>8</v>
      </c>
      <c r="B123" s="80"/>
      <c r="C123" s="14"/>
      <c r="D123" s="4"/>
      <c r="E123" s="4"/>
      <c r="F123" s="4"/>
      <c r="G123" s="4"/>
      <c r="H123" s="8"/>
    </row>
    <row r="124" spans="1:17" ht="15" customHeight="1">
      <c r="A124" s="81" t="s">
        <v>9</v>
      </c>
      <c r="B124" s="82"/>
      <c r="C124" s="18">
        <f>6011.91/1.18+832.45/1.18+29.98+93915.12</f>
        <v>99745.405084745755</v>
      </c>
      <c r="D124" s="25"/>
      <c r="E124" s="25"/>
      <c r="F124" s="25"/>
      <c r="H124" s="1"/>
      <c r="I124" s="24"/>
      <c r="J124" s="21"/>
      <c r="K124" s="21"/>
      <c r="L124" s="21"/>
      <c r="M124" s="21"/>
      <c r="N124" s="21"/>
      <c r="O124" s="21"/>
      <c r="P124" s="7"/>
      <c r="Q124" s="7"/>
    </row>
    <row r="125" spans="1:17" ht="15" customHeight="1">
      <c r="A125" s="19" t="s">
        <v>22</v>
      </c>
      <c r="B125" s="20"/>
      <c r="C125" s="18">
        <f>6806.87/1.18</f>
        <v>5768.5338983050851</v>
      </c>
      <c r="D125" s="25"/>
      <c r="E125" s="25"/>
      <c r="F125" s="25"/>
      <c r="H125" s="1"/>
      <c r="I125" s="24"/>
      <c r="J125" s="21"/>
      <c r="K125" s="21"/>
      <c r="L125" s="21"/>
      <c r="M125" s="21"/>
      <c r="N125" s="21"/>
      <c r="O125" s="21"/>
      <c r="P125" s="7"/>
      <c r="Q125" s="7"/>
    </row>
    <row r="126" spans="1:17" ht="15" customHeight="1">
      <c r="A126" s="19" t="s">
        <v>11</v>
      </c>
      <c r="B126" s="20"/>
      <c r="C126" s="18">
        <f>4356.44/1.18</f>
        <v>3691.8983050847455</v>
      </c>
      <c r="D126" s="25"/>
      <c r="E126" s="25"/>
      <c r="F126" s="25"/>
      <c r="H126" s="1"/>
      <c r="I126" s="24"/>
      <c r="J126" s="21"/>
      <c r="K126" s="21"/>
      <c r="L126" s="21"/>
      <c r="M126" s="21"/>
      <c r="N126" s="21"/>
      <c r="O126" s="21"/>
      <c r="P126" s="7"/>
      <c r="Q126" s="7"/>
    </row>
    <row r="127" spans="1:17" ht="15" customHeight="1">
      <c r="A127" s="19" t="s">
        <v>12</v>
      </c>
      <c r="B127" s="20"/>
      <c r="C127" s="18">
        <v>21543.27</v>
      </c>
      <c r="D127" s="25"/>
      <c r="E127" s="25"/>
      <c r="F127" s="25"/>
      <c r="H127" s="1"/>
      <c r="I127" s="24"/>
      <c r="J127" s="21"/>
      <c r="K127" s="21"/>
      <c r="L127" s="21"/>
      <c r="M127" s="21"/>
      <c r="N127" s="21"/>
      <c r="O127" s="21"/>
      <c r="P127" s="7"/>
      <c r="Q127" s="7"/>
    </row>
    <row r="128" spans="1:17" ht="15" customHeight="1">
      <c r="A128" s="83" t="s">
        <v>13</v>
      </c>
      <c r="B128" s="84"/>
      <c r="C128" s="18">
        <v>187458.24</v>
      </c>
      <c r="D128" s="25"/>
      <c r="E128" s="25"/>
      <c r="F128" s="25"/>
      <c r="H128" s="1"/>
      <c r="I128" s="24"/>
      <c r="J128" s="21"/>
      <c r="K128" s="21"/>
      <c r="L128" s="21"/>
      <c r="M128" s="21"/>
      <c r="N128" s="21"/>
      <c r="O128" s="21"/>
      <c r="P128" s="7"/>
      <c r="Q128" s="7"/>
    </row>
    <row r="129" spans="1:17" ht="15" customHeight="1">
      <c r="A129" s="89" t="s">
        <v>14</v>
      </c>
      <c r="B129" s="90"/>
      <c r="C129" s="18">
        <f>210400.26+1405.38+2876.47</f>
        <v>214682.11000000002</v>
      </c>
      <c r="D129" s="25"/>
      <c r="E129" s="25"/>
      <c r="F129" s="25"/>
      <c r="H129" s="1"/>
      <c r="I129" s="24"/>
      <c r="J129" s="21"/>
      <c r="K129" s="21"/>
      <c r="L129" s="21"/>
      <c r="M129" s="21"/>
      <c r="N129" s="21"/>
      <c r="O129" s="21"/>
      <c r="P129" s="7"/>
      <c r="Q129" s="7"/>
    </row>
    <row r="130" spans="1:17" ht="15" customHeight="1">
      <c r="A130" s="83" t="s">
        <v>45</v>
      </c>
      <c r="B130" s="84"/>
      <c r="C130" s="18">
        <f>43884.38+5726.01</f>
        <v>49610.39</v>
      </c>
      <c r="D130" s="25"/>
      <c r="E130" s="25"/>
      <c r="F130" s="25"/>
      <c r="H130" s="1"/>
      <c r="I130" s="24"/>
      <c r="J130" s="21"/>
      <c r="K130" s="21"/>
      <c r="L130" s="21"/>
      <c r="M130" s="21"/>
      <c r="N130" s="21"/>
      <c r="O130" s="21"/>
      <c r="P130" s="7"/>
      <c r="Q130" s="7"/>
    </row>
    <row r="131" spans="1:17" ht="15" customHeight="1">
      <c r="A131" s="83" t="s">
        <v>16</v>
      </c>
      <c r="B131" s="84"/>
      <c r="C131" s="18">
        <f>7634.49/1.18+79718.89</f>
        <v>86188.796779661017</v>
      </c>
      <c r="D131" s="25"/>
      <c r="E131" s="25"/>
      <c r="F131" s="25"/>
      <c r="H131" s="1"/>
      <c r="I131" s="24"/>
      <c r="J131" s="21"/>
      <c r="K131" s="21"/>
      <c r="L131" s="21"/>
      <c r="M131" s="21"/>
      <c r="N131" s="21"/>
      <c r="O131" s="21"/>
      <c r="P131" s="7"/>
      <c r="Q131" s="7"/>
    </row>
    <row r="132" spans="1:17" ht="15" customHeight="1" thickBot="1">
      <c r="A132" s="30" t="s">
        <v>17</v>
      </c>
      <c r="B132" s="31"/>
      <c r="C132" s="26">
        <v>189144.75</v>
      </c>
      <c r="D132" s="25"/>
      <c r="E132" s="25"/>
      <c r="F132" s="25"/>
      <c r="H132" s="1"/>
      <c r="I132" s="24"/>
      <c r="J132" s="21"/>
      <c r="K132" s="21"/>
      <c r="L132" s="21"/>
      <c r="M132" s="21"/>
      <c r="N132" s="21"/>
      <c r="O132" s="21"/>
      <c r="P132" s="7"/>
      <c r="Q132" s="7"/>
    </row>
    <row r="133" spans="1:17" ht="15" customHeight="1" thickBot="1">
      <c r="A133" s="91" t="s">
        <v>7</v>
      </c>
      <c r="B133" s="92"/>
      <c r="C133" s="32">
        <f>SUM(C124:C132)</f>
        <v>857833.39406779653</v>
      </c>
      <c r="D133" s="25"/>
      <c r="E133" s="25"/>
      <c r="F133" s="25"/>
      <c r="H133" s="1"/>
      <c r="I133" s="24"/>
      <c r="J133" s="21"/>
      <c r="K133" s="21"/>
      <c r="L133" s="21"/>
      <c r="M133" s="21"/>
      <c r="N133" s="21"/>
      <c r="O133" s="21"/>
      <c r="P133" s="7"/>
      <c r="Q133" s="7"/>
    </row>
    <row r="134" spans="1:17" ht="5.25" customHeight="1" thickBot="1">
      <c r="A134" s="59"/>
      <c r="B134" s="60"/>
      <c r="C134" s="32"/>
      <c r="D134" s="25"/>
      <c r="E134" s="25"/>
      <c r="F134" s="25"/>
      <c r="H134" s="1"/>
      <c r="I134" s="24"/>
      <c r="J134" s="21"/>
      <c r="K134" s="21"/>
      <c r="L134" s="21"/>
      <c r="M134" s="21"/>
      <c r="N134" s="21"/>
      <c r="O134" s="21"/>
      <c r="P134" s="7"/>
      <c r="Q134" s="7"/>
    </row>
    <row r="135" spans="1:17" ht="16.5" thickBot="1">
      <c r="A135" s="9" t="s">
        <v>26</v>
      </c>
      <c r="B135" s="10"/>
      <c r="C135" s="11"/>
      <c r="D135" s="4"/>
      <c r="E135" s="4"/>
      <c r="F135" s="4"/>
      <c r="G135" s="4"/>
      <c r="H135" s="8"/>
    </row>
    <row r="136" spans="1:17">
      <c r="A136" s="12" t="s">
        <v>1</v>
      </c>
      <c r="B136" s="13"/>
      <c r="C136" s="37"/>
      <c r="D136" s="4"/>
      <c r="E136" s="4"/>
      <c r="F136" s="4"/>
      <c r="G136" s="4"/>
      <c r="H136" s="8"/>
    </row>
    <row r="137" spans="1:17">
      <c r="A137" s="15" t="s">
        <v>48</v>
      </c>
      <c r="B137" s="16"/>
      <c r="C137" s="17">
        <v>1007440.45</v>
      </c>
      <c r="D137" s="4"/>
      <c r="E137" s="4"/>
      <c r="F137" s="4"/>
      <c r="G137" s="4"/>
      <c r="H137" s="8"/>
    </row>
    <row r="138" spans="1:17">
      <c r="A138" s="15" t="s">
        <v>46</v>
      </c>
      <c r="B138" s="16"/>
      <c r="C138" s="17">
        <v>276994.37</v>
      </c>
      <c r="D138" s="4"/>
      <c r="E138" s="4"/>
      <c r="F138" s="4"/>
      <c r="G138" s="4"/>
      <c r="H138" s="8"/>
    </row>
    <row r="139" spans="1:17" ht="13.5" customHeight="1">
      <c r="A139" s="83" t="s">
        <v>2</v>
      </c>
      <c r="B139" s="84"/>
      <c r="C139" s="18">
        <f>1063727.7/1.18+840024.54</f>
        <v>1741488.692542373</v>
      </c>
      <c r="D139" s="4"/>
      <c r="E139" s="4"/>
      <c r="F139" s="4"/>
      <c r="G139" s="4"/>
      <c r="H139" s="8"/>
    </row>
    <row r="140" spans="1:17">
      <c r="A140" s="83" t="s">
        <v>3</v>
      </c>
      <c r="B140" s="84"/>
      <c r="C140" s="18">
        <f>78872.22/1.18+62285.34</f>
        <v>129126.20440677967</v>
      </c>
      <c r="D140" s="4"/>
      <c r="E140" s="4"/>
      <c r="F140" s="4"/>
      <c r="G140" s="4"/>
      <c r="H140" s="8"/>
    </row>
    <row r="141" spans="1:17">
      <c r="A141" s="19" t="s">
        <v>5</v>
      </c>
      <c r="B141" s="20"/>
      <c r="C141" s="18">
        <f>674100/1.18</f>
        <v>571271.18644067796</v>
      </c>
      <c r="D141" s="4"/>
      <c r="E141" s="4"/>
      <c r="F141" s="4"/>
      <c r="G141" s="4"/>
      <c r="H141" s="8"/>
    </row>
    <row r="142" spans="1:17">
      <c r="A142" s="19" t="s">
        <v>6</v>
      </c>
      <c r="B142" s="20"/>
      <c r="C142" s="18">
        <v>48591.4</v>
      </c>
      <c r="D142" s="4"/>
      <c r="E142" s="4"/>
      <c r="F142" s="4"/>
      <c r="G142" s="4"/>
      <c r="H142" s="8"/>
    </row>
    <row r="143" spans="1:17">
      <c r="A143" s="19" t="s">
        <v>4</v>
      </c>
      <c r="B143" s="20"/>
      <c r="C143" s="18">
        <v>11298.31</v>
      </c>
      <c r="D143" s="4"/>
      <c r="E143" s="4"/>
      <c r="F143" s="4"/>
      <c r="G143" s="4"/>
      <c r="H143" s="8"/>
    </row>
    <row r="144" spans="1:17">
      <c r="A144" s="15" t="s">
        <v>7</v>
      </c>
      <c r="B144" s="22"/>
      <c r="C144" s="23">
        <f>SUM(C139:C143)</f>
        <v>2501775.7933898307</v>
      </c>
      <c r="D144" s="4"/>
      <c r="E144" s="4"/>
      <c r="F144" s="4"/>
      <c r="G144" s="4"/>
      <c r="H144" s="8"/>
    </row>
    <row r="145" spans="1:17">
      <c r="A145" s="15"/>
      <c r="B145" s="22"/>
      <c r="C145" s="23"/>
      <c r="D145" s="4"/>
      <c r="E145" s="4"/>
      <c r="F145" s="4"/>
      <c r="G145" s="4"/>
      <c r="H145" s="8"/>
    </row>
    <row r="146" spans="1:17">
      <c r="A146" s="79" t="s">
        <v>8</v>
      </c>
      <c r="B146" s="80"/>
      <c r="C146" s="14"/>
      <c r="D146" s="4"/>
      <c r="E146" s="4"/>
      <c r="F146" s="4"/>
      <c r="G146" s="4"/>
      <c r="H146" s="8"/>
    </row>
    <row r="147" spans="1:17" ht="15" customHeight="1">
      <c r="A147" s="81" t="s">
        <v>9</v>
      </c>
      <c r="B147" s="82"/>
      <c r="C147" s="18">
        <f>4900.4/1.18+832.45/1.18+29.97+198606.99</f>
        <v>203495.30745762712</v>
      </c>
      <c r="D147" s="25"/>
      <c r="E147" s="25"/>
      <c r="F147" s="25"/>
      <c r="H147" s="2"/>
      <c r="I147" s="24"/>
      <c r="J147" s="21"/>
      <c r="K147" s="21"/>
      <c r="L147" s="21"/>
      <c r="M147" s="21"/>
      <c r="N147" s="21"/>
      <c r="O147" s="21"/>
      <c r="P147" s="7"/>
      <c r="Q147" s="7"/>
    </row>
    <row r="148" spans="1:17" ht="15" customHeight="1">
      <c r="A148" s="19" t="s">
        <v>11</v>
      </c>
      <c r="B148" s="20"/>
      <c r="C148" s="18">
        <f>2927.6/1.18</f>
        <v>2481.0169491525426</v>
      </c>
      <c r="D148" s="25"/>
      <c r="E148" s="25"/>
      <c r="F148" s="25"/>
      <c r="H148" s="2"/>
      <c r="I148" s="24"/>
      <c r="J148" s="21"/>
      <c r="K148" s="21"/>
      <c r="L148" s="21"/>
      <c r="M148" s="21"/>
      <c r="N148" s="21"/>
      <c r="O148" s="21"/>
      <c r="P148" s="7"/>
      <c r="Q148" s="7"/>
    </row>
    <row r="149" spans="1:17" ht="15" customHeight="1">
      <c r="A149" s="49" t="s">
        <v>5</v>
      </c>
      <c r="B149" s="50"/>
      <c r="C149" s="18">
        <f>(120014.77+116120.37+116803.24+115833.12)*1.302</f>
        <v>610340.49300000002</v>
      </c>
      <c r="D149" s="25"/>
      <c r="E149" s="25"/>
      <c r="F149" s="25"/>
      <c r="H149" s="2"/>
      <c r="I149" s="24"/>
      <c r="J149" s="21"/>
      <c r="K149" s="21"/>
      <c r="L149" s="21"/>
      <c r="M149" s="21"/>
      <c r="N149" s="21"/>
      <c r="O149" s="21"/>
      <c r="P149" s="7"/>
      <c r="Q149" s="7"/>
    </row>
    <row r="150" spans="1:17" ht="15" customHeight="1">
      <c r="A150" s="83" t="s">
        <v>19</v>
      </c>
      <c r="B150" s="84"/>
      <c r="C150" s="18">
        <v>12999.24</v>
      </c>
      <c r="D150" s="25"/>
      <c r="E150" s="25"/>
      <c r="F150" s="25"/>
      <c r="H150" s="1"/>
      <c r="I150" s="24"/>
      <c r="J150" s="21"/>
      <c r="K150" s="21"/>
      <c r="L150" s="21"/>
      <c r="M150" s="21"/>
      <c r="N150" s="21"/>
      <c r="O150" s="21"/>
      <c r="P150" s="7"/>
      <c r="Q150" s="7"/>
    </row>
    <row r="151" spans="1:17" ht="15" customHeight="1">
      <c r="A151" s="19" t="s">
        <v>12</v>
      </c>
      <c r="B151" s="20"/>
      <c r="C151" s="18">
        <v>47735.4</v>
      </c>
      <c r="D151" s="25"/>
      <c r="E151" s="25"/>
      <c r="F151" s="25"/>
      <c r="H151" s="1"/>
      <c r="I151" s="24"/>
      <c r="J151" s="21"/>
      <c r="K151" s="21"/>
      <c r="L151" s="21"/>
      <c r="M151" s="21"/>
      <c r="N151" s="21"/>
      <c r="O151" s="21"/>
      <c r="P151" s="7"/>
      <c r="Q151" s="7"/>
    </row>
    <row r="152" spans="1:17" ht="15" customHeight="1">
      <c r="A152" s="83" t="s">
        <v>13</v>
      </c>
      <c r="B152" s="84"/>
      <c r="C152" s="18">
        <v>426189.96</v>
      </c>
      <c r="D152" s="25"/>
      <c r="E152" s="25"/>
      <c r="F152" s="25"/>
      <c r="H152" s="1"/>
      <c r="I152" s="24"/>
      <c r="J152" s="21"/>
      <c r="K152" s="21"/>
      <c r="L152" s="21"/>
      <c r="M152" s="21"/>
      <c r="N152" s="21"/>
      <c r="O152" s="21"/>
      <c r="P152" s="7"/>
      <c r="Q152" s="7"/>
    </row>
    <row r="153" spans="1:17" ht="15" customHeight="1">
      <c r="A153" s="89" t="s">
        <v>14</v>
      </c>
      <c r="B153" s="90"/>
      <c r="C153" s="18">
        <f>478227.06+2972.02+6083.02</f>
        <v>487282.10000000003</v>
      </c>
      <c r="D153" s="25"/>
      <c r="E153" s="25"/>
      <c r="F153" s="25"/>
      <c r="H153" s="1"/>
      <c r="I153" s="24"/>
      <c r="J153" s="21"/>
      <c r="K153" s="21"/>
      <c r="L153" s="21"/>
      <c r="M153" s="21"/>
      <c r="N153" s="21"/>
      <c r="O153" s="21"/>
      <c r="P153" s="7"/>
      <c r="Q153" s="7"/>
    </row>
    <row r="154" spans="1:17">
      <c r="A154" s="83" t="s">
        <v>45</v>
      </c>
      <c r="B154" s="84"/>
      <c r="C154" s="18">
        <f>100273.83+7412+12109.07</f>
        <v>119794.9</v>
      </c>
      <c r="D154" s="4"/>
      <c r="E154" s="4"/>
      <c r="F154" s="4"/>
      <c r="G154" s="4"/>
      <c r="H154" s="8"/>
    </row>
    <row r="155" spans="1:17">
      <c r="A155" s="19" t="s">
        <v>16</v>
      </c>
      <c r="B155" s="20"/>
      <c r="C155" s="18">
        <f>14897.64/1.18+168585.52</f>
        <v>181210.63864406777</v>
      </c>
      <c r="D155" s="4"/>
      <c r="E155" s="4"/>
      <c r="F155" s="4"/>
      <c r="G155" s="4"/>
      <c r="H155" s="8"/>
    </row>
    <row r="156" spans="1:17" ht="16.5" thickBot="1">
      <c r="A156" s="85" t="s">
        <v>17</v>
      </c>
      <c r="B156" s="86"/>
      <c r="C156" s="26">
        <v>399993.82</v>
      </c>
      <c r="D156" s="4"/>
      <c r="E156" s="4"/>
      <c r="F156" s="4"/>
      <c r="G156" s="4"/>
      <c r="H156" s="8"/>
    </row>
    <row r="157" spans="1:17" ht="15" customHeight="1" thickBot="1">
      <c r="A157" s="94" t="s">
        <v>7</v>
      </c>
      <c r="B157" s="95"/>
      <c r="C157" s="27">
        <f>SUM(C147:C156)</f>
        <v>2491522.8760508476</v>
      </c>
      <c r="D157" s="25"/>
      <c r="E157" s="25"/>
      <c r="F157" s="25"/>
      <c r="H157" s="1"/>
      <c r="I157" s="24"/>
      <c r="J157" s="21"/>
      <c r="K157" s="21"/>
      <c r="L157" s="21"/>
      <c r="M157" s="21"/>
      <c r="N157" s="21"/>
      <c r="O157" s="21"/>
      <c r="P157" s="7"/>
      <c r="Q157" s="7"/>
    </row>
    <row r="158" spans="1:17" ht="5.25" customHeight="1" thickBot="1">
      <c r="A158" s="55"/>
      <c r="B158" s="56"/>
      <c r="C158" s="27"/>
      <c r="D158" s="25"/>
      <c r="E158" s="25"/>
      <c r="F158" s="25"/>
      <c r="H158" s="1"/>
      <c r="I158" s="24"/>
      <c r="J158" s="21"/>
      <c r="K158" s="21"/>
      <c r="L158" s="21"/>
      <c r="M158" s="21"/>
      <c r="N158" s="21"/>
      <c r="O158" s="21"/>
      <c r="P158" s="7"/>
      <c r="Q158" s="7"/>
    </row>
    <row r="159" spans="1:17" ht="16.5" thickBot="1">
      <c r="A159" s="9" t="s">
        <v>27</v>
      </c>
      <c r="B159" s="10"/>
      <c r="C159" s="11"/>
      <c r="D159" s="4"/>
      <c r="E159" s="4"/>
      <c r="F159" s="4"/>
      <c r="G159" s="4"/>
      <c r="H159" s="8"/>
    </row>
    <row r="160" spans="1:17">
      <c r="A160" s="12" t="s">
        <v>1</v>
      </c>
      <c r="B160" s="13"/>
      <c r="C160" s="14"/>
      <c r="D160" s="4"/>
      <c r="E160" s="4"/>
      <c r="F160" s="4"/>
      <c r="G160" s="4"/>
      <c r="H160" s="8"/>
    </row>
    <row r="161" spans="1:17">
      <c r="A161" s="15" t="s">
        <v>48</v>
      </c>
      <c r="B161" s="16"/>
      <c r="C161" s="17">
        <v>941163.61</v>
      </c>
      <c r="D161" s="4"/>
      <c r="E161" s="4"/>
      <c r="F161" s="4"/>
      <c r="G161" s="4"/>
      <c r="H161" s="8"/>
    </row>
    <row r="162" spans="1:17">
      <c r="A162" s="15" t="s">
        <v>46</v>
      </c>
      <c r="B162" s="16"/>
      <c r="C162" s="17">
        <v>330048.95</v>
      </c>
      <c r="D162" s="4"/>
      <c r="E162" s="4"/>
      <c r="F162" s="4"/>
      <c r="G162" s="4"/>
      <c r="H162" s="8"/>
    </row>
    <row r="163" spans="1:17">
      <c r="A163" s="83" t="s">
        <v>2</v>
      </c>
      <c r="B163" s="84"/>
      <c r="C163" s="18">
        <f>982846.38/1.18+776153.28</f>
        <v>1609073.9410169492</v>
      </c>
      <c r="D163" s="4"/>
      <c r="E163" s="4"/>
      <c r="F163" s="4"/>
      <c r="G163" s="4"/>
      <c r="H163" s="2"/>
    </row>
    <row r="164" spans="1:17">
      <c r="A164" s="83" t="s">
        <v>3</v>
      </c>
      <c r="B164" s="84"/>
      <c r="C164" s="18">
        <f>8703.96/1.18+6873.48</f>
        <v>14249.717288135593</v>
      </c>
      <c r="D164" s="4"/>
      <c r="E164" s="4"/>
      <c r="F164" s="4"/>
      <c r="G164" s="4"/>
      <c r="H164" s="8"/>
    </row>
    <row r="165" spans="1:17">
      <c r="A165" s="83" t="s">
        <v>6</v>
      </c>
      <c r="B165" s="84"/>
      <c r="C165" s="18">
        <v>45584.91</v>
      </c>
      <c r="D165" s="4"/>
      <c r="E165" s="4"/>
      <c r="F165" s="4"/>
      <c r="G165" s="4"/>
      <c r="H165" s="8"/>
    </row>
    <row r="166" spans="1:17">
      <c r="A166" s="19" t="s">
        <v>4</v>
      </c>
      <c r="B166" s="20"/>
      <c r="C166" s="18">
        <v>3829.96</v>
      </c>
      <c r="D166" s="4"/>
      <c r="E166" s="4"/>
      <c r="F166" s="4"/>
      <c r="G166" s="4"/>
      <c r="H166" s="8"/>
    </row>
    <row r="167" spans="1:17">
      <c r="A167" s="15" t="s">
        <v>7</v>
      </c>
      <c r="B167" s="22"/>
      <c r="C167" s="23">
        <f>SUM(C163:C166)</f>
        <v>1672738.5283050847</v>
      </c>
      <c r="D167" s="4"/>
      <c r="E167" s="4"/>
      <c r="F167" s="4"/>
      <c r="G167" s="4"/>
      <c r="H167" s="8"/>
    </row>
    <row r="168" spans="1:17">
      <c r="A168" s="15"/>
      <c r="B168" s="22"/>
      <c r="C168" s="23"/>
      <c r="D168" s="4"/>
      <c r="E168" s="4"/>
      <c r="F168" s="4"/>
      <c r="G168" s="4"/>
      <c r="H168" s="8"/>
    </row>
    <row r="169" spans="1:17">
      <c r="A169" s="79" t="s">
        <v>8</v>
      </c>
      <c r="B169" s="80"/>
      <c r="C169" s="14"/>
      <c r="D169" s="4"/>
      <c r="E169" s="4"/>
      <c r="F169" s="4"/>
      <c r="G169" s="4"/>
      <c r="H169" s="8"/>
    </row>
    <row r="170" spans="1:17" ht="15" customHeight="1">
      <c r="A170" s="81" t="s">
        <v>9</v>
      </c>
      <c r="B170" s="82"/>
      <c r="C170" s="18">
        <f>6869.76/1.18+1199.12/1.18+29.98+186318.59</f>
        <v>193186.60389830507</v>
      </c>
      <c r="D170" s="25"/>
      <c r="E170" s="25"/>
      <c r="F170" s="25"/>
      <c r="H170" s="1"/>
      <c r="I170" s="24"/>
      <c r="J170" s="21"/>
      <c r="K170" s="21"/>
      <c r="L170" s="21"/>
      <c r="M170" s="21"/>
      <c r="N170" s="21"/>
      <c r="O170" s="21"/>
      <c r="P170" s="7"/>
      <c r="Q170" s="7"/>
    </row>
    <row r="171" spans="1:17" ht="15" customHeight="1">
      <c r="A171" s="19" t="s">
        <v>22</v>
      </c>
      <c r="B171" s="20"/>
      <c r="C171" s="18">
        <f>5065.82/1.18</f>
        <v>4293.0677966101694</v>
      </c>
      <c r="D171" s="25"/>
      <c r="E171" s="25"/>
      <c r="F171" s="25"/>
      <c r="H171" s="1"/>
      <c r="I171" s="24"/>
      <c r="J171" s="21"/>
      <c r="K171" s="21"/>
      <c r="L171" s="21"/>
      <c r="M171" s="21"/>
      <c r="N171" s="21"/>
      <c r="O171" s="21"/>
      <c r="P171" s="7"/>
      <c r="Q171" s="7"/>
    </row>
    <row r="172" spans="1:17" ht="15" customHeight="1">
      <c r="A172" s="19" t="s">
        <v>11</v>
      </c>
      <c r="B172" s="20"/>
      <c r="C172" s="18">
        <f>4356.44/1.18</f>
        <v>3691.8983050847455</v>
      </c>
      <c r="D172" s="25"/>
      <c r="E172" s="25"/>
      <c r="F172" s="25"/>
      <c r="H172" s="1"/>
      <c r="I172" s="24"/>
      <c r="J172" s="21"/>
      <c r="K172" s="21"/>
      <c r="L172" s="21"/>
      <c r="M172" s="21"/>
      <c r="N172" s="21"/>
      <c r="O172" s="21"/>
      <c r="P172" s="7"/>
      <c r="Q172" s="7"/>
    </row>
    <row r="173" spans="1:17" ht="15" customHeight="1">
      <c r="A173" s="19" t="s">
        <v>12</v>
      </c>
      <c r="B173" s="20"/>
      <c r="C173" s="18">
        <v>42739.78</v>
      </c>
      <c r="D173" s="25"/>
      <c r="E173" s="25"/>
      <c r="F173" s="25"/>
      <c r="H173" s="1"/>
      <c r="I173" s="24"/>
      <c r="J173" s="21"/>
      <c r="K173" s="21"/>
      <c r="L173" s="21"/>
      <c r="M173" s="21"/>
      <c r="N173" s="21"/>
      <c r="O173" s="21"/>
      <c r="P173" s="7"/>
      <c r="Q173" s="7"/>
    </row>
    <row r="174" spans="1:17" ht="15" customHeight="1">
      <c r="A174" s="83" t="s">
        <v>13</v>
      </c>
      <c r="B174" s="84"/>
      <c r="C174" s="18">
        <v>369874.5</v>
      </c>
      <c r="D174" s="25"/>
      <c r="E174" s="25"/>
      <c r="F174" s="25"/>
      <c r="H174" s="1"/>
      <c r="I174" s="24"/>
      <c r="J174" s="21"/>
      <c r="K174" s="21"/>
      <c r="L174" s="21"/>
      <c r="M174" s="21"/>
      <c r="N174" s="21"/>
      <c r="O174" s="21"/>
      <c r="P174" s="7"/>
      <c r="Q174" s="7"/>
    </row>
    <row r="175" spans="1:17" ht="15" customHeight="1">
      <c r="A175" s="89" t="s">
        <v>14</v>
      </c>
      <c r="B175" s="90"/>
      <c r="C175" s="18">
        <f>415141.56+2788.14+5706.65</f>
        <v>423636.35000000003</v>
      </c>
      <c r="D175" s="25"/>
      <c r="E175" s="25"/>
      <c r="F175" s="25"/>
      <c r="H175" s="1"/>
      <c r="I175" s="24"/>
      <c r="J175" s="21"/>
      <c r="K175" s="21"/>
      <c r="L175" s="21"/>
      <c r="M175" s="21"/>
      <c r="N175" s="21"/>
      <c r="O175" s="21"/>
      <c r="P175" s="7"/>
      <c r="Q175" s="7"/>
    </row>
    <row r="176" spans="1:17" ht="15" customHeight="1">
      <c r="A176" s="83" t="s">
        <v>45</v>
      </c>
      <c r="B176" s="84"/>
      <c r="C176" s="18">
        <f>86738.75+11359.84</f>
        <v>98098.59</v>
      </c>
      <c r="D176" s="25"/>
      <c r="E176" s="25"/>
      <c r="F176" s="25"/>
      <c r="H176" s="1"/>
      <c r="I176" s="24"/>
      <c r="J176" s="21"/>
      <c r="K176" s="21"/>
      <c r="L176" s="21"/>
      <c r="M176" s="21"/>
      <c r="N176" s="21"/>
      <c r="O176" s="21"/>
      <c r="P176" s="7"/>
      <c r="Q176" s="7"/>
    </row>
    <row r="177" spans="1:17" ht="15" customHeight="1">
      <c r="A177" s="19" t="s">
        <v>16</v>
      </c>
      <c r="B177" s="20"/>
      <c r="C177" s="18">
        <f>158154.63+7471.8/1.18</f>
        <v>164486.66389830509</v>
      </c>
      <c r="D177" s="25"/>
      <c r="E177" s="25"/>
      <c r="F177" s="25"/>
      <c r="H177" s="1"/>
      <c r="I177" s="24"/>
      <c r="J177" s="21"/>
      <c r="K177" s="21"/>
      <c r="L177" s="21"/>
      <c r="M177" s="21"/>
      <c r="N177" s="21"/>
      <c r="O177" s="21"/>
      <c r="P177" s="7"/>
      <c r="Q177" s="7"/>
    </row>
    <row r="178" spans="1:17" ht="15" customHeight="1" thickBot="1">
      <c r="A178" s="83" t="s">
        <v>17</v>
      </c>
      <c r="B178" s="84"/>
      <c r="C178" s="18">
        <v>375245.03</v>
      </c>
      <c r="D178" s="25"/>
      <c r="E178" s="25"/>
      <c r="F178" s="25"/>
      <c r="H178" s="1"/>
      <c r="I178" s="24"/>
      <c r="J178" s="21"/>
      <c r="K178" s="21"/>
      <c r="L178" s="21"/>
      <c r="M178" s="21"/>
      <c r="N178" s="21"/>
      <c r="O178" s="21"/>
      <c r="P178" s="7"/>
      <c r="Q178" s="7"/>
    </row>
    <row r="179" spans="1:17" ht="15" customHeight="1" thickBot="1">
      <c r="A179" s="94" t="s">
        <v>7</v>
      </c>
      <c r="B179" s="95"/>
      <c r="C179" s="27">
        <f>SUM(C170:C178)</f>
        <v>1675252.4838983051</v>
      </c>
      <c r="D179" s="25"/>
      <c r="E179" s="25"/>
      <c r="F179" s="25"/>
      <c r="H179" s="1"/>
      <c r="I179" s="24"/>
      <c r="J179" s="21"/>
      <c r="K179" s="21"/>
      <c r="L179" s="21"/>
      <c r="M179" s="21"/>
      <c r="N179" s="21"/>
      <c r="O179" s="21"/>
      <c r="P179" s="7"/>
      <c r="Q179" s="7"/>
    </row>
    <row r="180" spans="1:17" ht="6" customHeight="1" thickBot="1">
      <c r="A180" s="59"/>
      <c r="B180" s="60"/>
      <c r="C180" s="32"/>
      <c r="D180" s="25"/>
      <c r="E180" s="25"/>
      <c r="F180" s="25"/>
      <c r="H180" s="1"/>
      <c r="I180" s="24"/>
      <c r="J180" s="21"/>
      <c r="K180" s="21"/>
      <c r="L180" s="21"/>
      <c r="M180" s="21"/>
      <c r="N180" s="21"/>
      <c r="O180" s="21"/>
      <c r="P180" s="7"/>
      <c r="Q180" s="7"/>
    </row>
    <row r="181" spans="1:17" ht="16.5" thickBot="1">
      <c r="A181" s="38" t="s">
        <v>28</v>
      </c>
      <c r="B181" s="39"/>
      <c r="C181" s="40"/>
      <c r="D181" s="4"/>
      <c r="E181" s="4"/>
      <c r="F181" s="4"/>
      <c r="G181" s="4"/>
      <c r="H181" s="8"/>
    </row>
    <row r="182" spans="1:17">
      <c r="A182" s="12" t="s">
        <v>1</v>
      </c>
      <c r="B182" s="13"/>
      <c r="C182" s="37"/>
      <c r="D182" s="4"/>
      <c r="E182" s="4"/>
      <c r="F182" s="4"/>
      <c r="G182" s="4"/>
      <c r="H182" s="8"/>
    </row>
    <row r="183" spans="1:17">
      <c r="A183" s="15" t="s">
        <v>48</v>
      </c>
      <c r="B183" s="16"/>
      <c r="C183" s="17">
        <v>1509058.41</v>
      </c>
      <c r="D183" s="4"/>
      <c r="E183" s="4"/>
      <c r="F183" s="4"/>
      <c r="G183" s="4"/>
      <c r="H183" s="8"/>
    </row>
    <row r="184" spans="1:17">
      <c r="A184" s="15" t="s">
        <v>46</v>
      </c>
      <c r="B184" s="16"/>
      <c r="C184" s="17">
        <v>501903.27</v>
      </c>
      <c r="D184" s="4"/>
      <c r="E184" s="4"/>
      <c r="F184" s="4"/>
      <c r="G184" s="4"/>
      <c r="H184" s="8"/>
    </row>
    <row r="185" spans="1:17">
      <c r="A185" s="83" t="s">
        <v>2</v>
      </c>
      <c r="B185" s="84"/>
      <c r="C185" s="18">
        <f>105582.78+240211.5/1.18+1138463.58+1403393.04/1.18</f>
        <v>2636931.5633898303</v>
      </c>
      <c r="D185" s="4"/>
      <c r="E185" s="4"/>
      <c r="F185" s="4"/>
      <c r="G185" s="4"/>
      <c r="H185" s="8"/>
    </row>
    <row r="186" spans="1:17">
      <c r="A186" s="19" t="s">
        <v>6</v>
      </c>
      <c r="B186" s="20"/>
      <c r="C186" s="18">
        <v>76569.06</v>
      </c>
      <c r="D186" s="4"/>
      <c r="E186" s="4"/>
      <c r="F186" s="4"/>
      <c r="G186" s="4"/>
      <c r="H186" s="8"/>
    </row>
    <row r="187" spans="1:17">
      <c r="A187" s="15" t="s">
        <v>7</v>
      </c>
      <c r="B187" s="22"/>
      <c r="C187" s="23">
        <f>SUM(C185:C186)</f>
        <v>2713500.6233898303</v>
      </c>
      <c r="D187" s="4"/>
      <c r="E187" s="4"/>
      <c r="F187" s="4"/>
      <c r="G187" s="4"/>
      <c r="H187" s="8"/>
    </row>
    <row r="188" spans="1:17">
      <c r="A188" s="15"/>
      <c r="B188" s="22"/>
      <c r="C188" s="23"/>
      <c r="D188" s="4"/>
      <c r="E188" s="4"/>
      <c r="F188" s="4"/>
      <c r="G188" s="4"/>
      <c r="H188" s="8"/>
    </row>
    <row r="189" spans="1:17">
      <c r="A189" s="79" t="s">
        <v>8</v>
      </c>
      <c r="B189" s="80"/>
      <c r="C189" s="14"/>
      <c r="D189" s="4"/>
      <c r="E189" s="4"/>
      <c r="F189" s="4"/>
      <c r="G189" s="4"/>
      <c r="H189" s="8"/>
    </row>
    <row r="190" spans="1:17" ht="15" customHeight="1">
      <c r="A190" s="81" t="s">
        <v>9</v>
      </c>
      <c r="B190" s="82"/>
      <c r="C190" s="18">
        <f>7168.67/1.18+832.45/1.18+490.35/1.18+29.98+312959.71</f>
        <v>320185.85101694916</v>
      </c>
      <c r="D190" s="25"/>
      <c r="E190" s="25"/>
      <c r="F190" s="25"/>
      <c r="H190" s="1"/>
      <c r="I190" s="24"/>
      <c r="J190" s="21"/>
      <c r="K190" s="21"/>
      <c r="L190" s="21"/>
      <c r="M190" s="21"/>
      <c r="N190" s="21"/>
      <c r="O190" s="21"/>
      <c r="P190" s="7"/>
      <c r="Q190" s="7"/>
    </row>
    <row r="191" spans="1:17" ht="15" customHeight="1">
      <c r="A191" s="19" t="s">
        <v>22</v>
      </c>
      <c r="B191" s="20"/>
      <c r="C191" s="18">
        <f>5373.54/1.18</f>
        <v>4553.8474576271192</v>
      </c>
      <c r="D191" s="25"/>
      <c r="E191" s="25"/>
      <c r="F191" s="25"/>
      <c r="H191" s="1"/>
      <c r="I191" s="24"/>
      <c r="J191" s="21"/>
      <c r="K191" s="21"/>
      <c r="L191" s="21"/>
      <c r="M191" s="21"/>
      <c r="N191" s="21"/>
      <c r="O191" s="21"/>
      <c r="P191" s="7"/>
      <c r="Q191" s="7"/>
    </row>
    <row r="192" spans="1:17" ht="15" customHeight="1">
      <c r="A192" s="19" t="s">
        <v>11</v>
      </c>
      <c r="B192" s="20"/>
      <c r="C192" s="18">
        <f>4356.44/1.18</f>
        <v>3691.8983050847455</v>
      </c>
      <c r="D192" s="25"/>
      <c r="E192" s="25"/>
      <c r="F192" s="25"/>
      <c r="H192" s="2"/>
      <c r="I192" s="24"/>
      <c r="J192" s="21"/>
      <c r="K192" s="21"/>
      <c r="L192" s="21"/>
      <c r="M192" s="21"/>
      <c r="N192" s="21"/>
      <c r="O192" s="21"/>
      <c r="P192" s="7"/>
      <c r="Q192" s="7"/>
    </row>
    <row r="193" spans="1:17" ht="15" customHeight="1">
      <c r="A193" s="51" t="s">
        <v>15</v>
      </c>
      <c r="B193" s="20"/>
      <c r="C193" s="18">
        <v>510000</v>
      </c>
      <c r="D193" s="25"/>
      <c r="E193" s="25"/>
      <c r="F193" s="25"/>
      <c r="H193" s="2"/>
      <c r="I193" s="24"/>
      <c r="J193" s="21"/>
      <c r="K193" s="21"/>
      <c r="L193" s="21"/>
      <c r="M193" s="21"/>
      <c r="N193" s="21"/>
      <c r="O193" s="21"/>
      <c r="P193" s="7"/>
      <c r="Q193" s="7"/>
    </row>
    <row r="194" spans="1:17" ht="15" customHeight="1">
      <c r="A194" s="83" t="s">
        <v>19</v>
      </c>
      <c r="B194" s="84"/>
      <c r="C194" s="18">
        <f>18924.84</f>
        <v>18924.84</v>
      </c>
      <c r="D194" s="25"/>
      <c r="E194" s="25"/>
      <c r="F194" s="25"/>
      <c r="H194" s="1"/>
      <c r="I194" s="24"/>
      <c r="J194" s="21"/>
      <c r="K194" s="21"/>
      <c r="L194" s="21"/>
      <c r="M194" s="21"/>
      <c r="N194" s="21"/>
      <c r="O194" s="21"/>
      <c r="P194" s="7"/>
      <c r="Q194" s="7"/>
    </row>
    <row r="195" spans="1:17" ht="15" customHeight="1">
      <c r="A195" s="51" t="s">
        <v>49</v>
      </c>
      <c r="B195" s="52"/>
      <c r="C195" s="18">
        <v>2235.8000000000002</v>
      </c>
      <c r="D195" s="25"/>
      <c r="E195" s="25"/>
      <c r="F195" s="25"/>
      <c r="H195" s="1"/>
      <c r="I195" s="24"/>
      <c r="J195" s="21"/>
      <c r="K195" s="21"/>
      <c r="L195" s="21"/>
      <c r="M195" s="21"/>
      <c r="N195" s="21"/>
      <c r="O195" s="21"/>
      <c r="P195" s="7"/>
      <c r="Q195" s="7"/>
    </row>
    <row r="196" spans="1:17" ht="15" customHeight="1">
      <c r="A196" s="19" t="s">
        <v>12</v>
      </c>
      <c r="B196" s="20"/>
      <c r="C196" s="18">
        <v>71790.09</v>
      </c>
      <c r="D196" s="25"/>
      <c r="E196" s="25"/>
      <c r="F196" s="25"/>
      <c r="H196" s="1"/>
      <c r="I196" s="24"/>
      <c r="J196" s="21"/>
      <c r="K196" s="21"/>
      <c r="L196" s="21"/>
      <c r="M196" s="21"/>
      <c r="N196" s="21"/>
      <c r="O196" s="21"/>
      <c r="P196" s="7"/>
      <c r="Q196" s="7"/>
    </row>
    <row r="197" spans="1:17" ht="15" customHeight="1">
      <c r="A197" s="83" t="s">
        <v>13</v>
      </c>
      <c r="B197" s="84"/>
      <c r="C197" s="18">
        <f>537732.78</f>
        <v>537732.78</v>
      </c>
      <c r="D197" s="25"/>
      <c r="E197" s="25"/>
      <c r="F197" s="25"/>
      <c r="H197" s="1"/>
      <c r="I197" s="24"/>
      <c r="J197" s="21"/>
      <c r="K197" s="21"/>
      <c r="L197" s="21"/>
      <c r="M197" s="21"/>
      <c r="N197" s="21"/>
      <c r="O197" s="21"/>
      <c r="P197" s="7"/>
      <c r="Q197" s="7"/>
    </row>
    <row r="198" spans="1:17" ht="15" customHeight="1">
      <c r="A198" s="89" t="s">
        <v>14</v>
      </c>
      <c r="B198" s="90"/>
      <c r="C198" s="18">
        <f>704126.94+4683.24+9585.47</f>
        <v>718395.64999999991</v>
      </c>
      <c r="D198" s="25"/>
      <c r="E198" s="25"/>
      <c r="F198" s="25"/>
      <c r="H198" s="1"/>
      <c r="I198" s="24"/>
      <c r="J198" s="21"/>
      <c r="K198" s="21"/>
      <c r="L198" s="21"/>
      <c r="M198" s="21"/>
      <c r="N198" s="21"/>
      <c r="O198" s="21"/>
      <c r="P198" s="7"/>
      <c r="Q198" s="7"/>
    </row>
    <row r="199" spans="1:17" ht="15" customHeight="1">
      <c r="A199" s="83" t="s">
        <v>45</v>
      </c>
      <c r="B199" s="84"/>
      <c r="C199" s="18">
        <f>145201.26+19081.15</f>
        <v>164282.41</v>
      </c>
      <c r="D199" s="25"/>
      <c r="E199" s="25"/>
      <c r="F199" s="25"/>
      <c r="H199" s="1"/>
      <c r="I199" s="24"/>
      <c r="J199" s="21"/>
      <c r="K199" s="21"/>
      <c r="L199" s="21"/>
      <c r="M199" s="21"/>
      <c r="N199" s="21"/>
      <c r="O199" s="21"/>
      <c r="P199" s="7"/>
      <c r="Q199" s="7"/>
    </row>
    <row r="200" spans="1:17" ht="15" customHeight="1">
      <c r="A200" s="19" t="s">
        <v>16</v>
      </c>
      <c r="B200" s="20"/>
      <c r="C200" s="18">
        <f>10363.16/1.18+265652.66</f>
        <v>274434.99898305081</v>
      </c>
      <c r="D200" s="25"/>
      <c r="E200" s="25"/>
      <c r="F200" s="25"/>
      <c r="H200" s="1"/>
      <c r="I200" s="24"/>
      <c r="J200" s="21"/>
      <c r="K200" s="21"/>
      <c r="L200" s="21"/>
      <c r="M200" s="21"/>
      <c r="N200" s="21"/>
      <c r="O200" s="21"/>
      <c r="P200" s="7"/>
      <c r="Q200" s="7"/>
    </row>
    <row r="201" spans="1:17" ht="15" customHeight="1" thickBot="1">
      <c r="A201" s="85" t="s">
        <v>17</v>
      </c>
      <c r="B201" s="86"/>
      <c r="C201" s="26">
        <v>630299.82999999996</v>
      </c>
      <c r="D201" s="25"/>
      <c r="E201" s="25"/>
      <c r="F201" s="25"/>
      <c r="H201" s="1"/>
      <c r="I201" s="24"/>
      <c r="J201" s="21"/>
      <c r="K201" s="21"/>
      <c r="L201" s="21"/>
      <c r="M201" s="21"/>
      <c r="N201" s="21"/>
      <c r="O201" s="21"/>
      <c r="P201" s="7"/>
      <c r="Q201" s="7"/>
    </row>
    <row r="202" spans="1:17" ht="16.5" thickBot="1">
      <c r="A202" s="87" t="s">
        <v>20</v>
      </c>
      <c r="B202" s="88"/>
      <c r="C202" s="32">
        <f>SUM(C190:C201)</f>
        <v>3256527.9957627119</v>
      </c>
      <c r="D202" s="4"/>
      <c r="E202" s="4"/>
      <c r="F202" s="4"/>
      <c r="G202" s="4"/>
      <c r="H202" s="8"/>
    </row>
    <row r="203" spans="1:17" ht="6.75" customHeight="1" thickBot="1">
      <c r="A203" s="57"/>
      <c r="B203" s="58"/>
      <c r="C203" s="32"/>
      <c r="D203" s="4"/>
      <c r="E203" s="4"/>
      <c r="F203" s="4"/>
      <c r="G203" s="4"/>
      <c r="H203" s="8"/>
    </row>
    <row r="204" spans="1:17" ht="16.5" thickBot="1">
      <c r="A204" s="9" t="s">
        <v>29</v>
      </c>
      <c r="B204" s="10"/>
      <c r="C204" s="11"/>
      <c r="D204" s="4"/>
      <c r="E204" s="4"/>
      <c r="F204" s="4"/>
      <c r="G204" s="4"/>
      <c r="H204" s="8"/>
    </row>
    <row r="205" spans="1:17">
      <c r="A205" s="12" t="s">
        <v>1</v>
      </c>
      <c r="B205" s="13"/>
      <c r="C205" s="14"/>
      <c r="D205" s="4"/>
      <c r="E205" s="4"/>
      <c r="F205" s="4"/>
      <c r="G205" s="4"/>
      <c r="H205" s="8"/>
    </row>
    <row r="206" spans="1:17">
      <c r="A206" s="15" t="s">
        <v>48</v>
      </c>
      <c r="B206" s="16"/>
      <c r="C206" s="17">
        <v>1335765.53</v>
      </c>
      <c r="D206" s="4"/>
      <c r="E206" s="4"/>
      <c r="F206" s="4"/>
      <c r="G206" s="4"/>
      <c r="H206" s="8"/>
    </row>
    <row r="207" spans="1:17">
      <c r="A207" s="15" t="s">
        <v>46</v>
      </c>
      <c r="B207" s="16"/>
      <c r="C207" s="17">
        <v>436311.17</v>
      </c>
      <c r="D207" s="4"/>
      <c r="E207" s="4"/>
      <c r="F207" s="4"/>
      <c r="G207" s="4"/>
      <c r="H207" s="8"/>
    </row>
    <row r="208" spans="1:17">
      <c r="A208" s="83" t="s">
        <v>2</v>
      </c>
      <c r="B208" s="84"/>
      <c r="C208" s="18">
        <f>105127.08+239174.94/1.18+1132889.4+1396521.84/1.18</f>
        <v>2624200.1918644067</v>
      </c>
      <c r="D208" s="4"/>
      <c r="E208" s="4"/>
      <c r="F208" s="4"/>
      <c r="G208" s="4"/>
      <c r="H208" s="2"/>
    </row>
    <row r="209" spans="1:17">
      <c r="A209" s="19" t="s">
        <v>6</v>
      </c>
      <c r="B209" s="20"/>
      <c r="C209" s="18">
        <v>76402.289999999994</v>
      </c>
      <c r="D209" s="4"/>
      <c r="E209" s="4"/>
      <c r="F209" s="4"/>
      <c r="G209" s="4"/>
      <c r="H209" s="8"/>
    </row>
    <row r="210" spans="1:17">
      <c r="A210" s="15" t="s">
        <v>7</v>
      </c>
      <c r="B210" s="22"/>
      <c r="C210" s="23">
        <f>SUM(C208:C209)</f>
        <v>2700602.4818644067</v>
      </c>
      <c r="D210" s="4"/>
      <c r="E210" s="4"/>
      <c r="F210" s="4"/>
      <c r="G210" s="4"/>
      <c r="H210" s="8"/>
    </row>
    <row r="211" spans="1:17">
      <c r="A211" s="15"/>
      <c r="B211" s="22"/>
      <c r="C211" s="23"/>
      <c r="D211" s="4"/>
      <c r="E211" s="4"/>
      <c r="F211" s="4"/>
      <c r="G211" s="4"/>
      <c r="H211" s="8"/>
    </row>
    <row r="212" spans="1:17">
      <c r="A212" s="79" t="s">
        <v>8</v>
      </c>
      <c r="B212" s="80"/>
      <c r="C212" s="14"/>
      <c r="D212" s="4"/>
      <c r="E212" s="4"/>
      <c r="F212" s="4"/>
      <c r="G212" s="4"/>
      <c r="H212" s="8"/>
    </row>
    <row r="213" spans="1:17" ht="15" customHeight="1">
      <c r="A213" s="81" t="s">
        <v>9</v>
      </c>
      <c r="B213" s="82"/>
      <c r="C213" s="18">
        <f>4945.77/1.18+29.97+490.35/1.18+832.45/1.18+312278.09</f>
        <v>317620.40745762712</v>
      </c>
      <c r="D213" s="25"/>
      <c r="E213" s="25"/>
      <c r="F213" s="25"/>
      <c r="H213" s="1"/>
      <c r="I213" s="24"/>
      <c r="J213" s="21"/>
      <c r="K213" s="21"/>
      <c r="L213" s="21"/>
      <c r="M213" s="21"/>
      <c r="N213" s="21"/>
      <c r="O213" s="21"/>
      <c r="P213" s="7"/>
      <c r="Q213" s="7"/>
    </row>
    <row r="214" spans="1:17" ht="15" customHeight="1">
      <c r="A214" s="19" t="s">
        <v>11</v>
      </c>
      <c r="B214" s="20"/>
      <c r="C214" s="18">
        <f>4356.44/1.18</f>
        <v>3691.8983050847455</v>
      </c>
      <c r="D214" s="25"/>
      <c r="E214" s="25"/>
      <c r="F214" s="25"/>
      <c r="H214" s="1"/>
      <c r="I214" s="24"/>
      <c r="J214" s="21"/>
      <c r="K214" s="21"/>
      <c r="L214" s="21"/>
      <c r="M214" s="21"/>
      <c r="N214" s="21"/>
      <c r="O214" s="21"/>
      <c r="P214" s="7"/>
      <c r="Q214" s="7"/>
    </row>
    <row r="215" spans="1:17" ht="15" customHeight="1">
      <c r="A215" s="19" t="s">
        <v>12</v>
      </c>
      <c r="B215" s="20"/>
      <c r="C215" s="18">
        <v>71633.73</v>
      </c>
      <c r="D215" s="25"/>
      <c r="E215" s="25"/>
      <c r="F215" s="25"/>
      <c r="H215" s="1"/>
      <c r="I215" s="24"/>
      <c r="J215" s="21"/>
      <c r="K215" s="21"/>
      <c r="L215" s="21"/>
      <c r="M215" s="21"/>
      <c r="N215" s="21"/>
      <c r="O215" s="21"/>
      <c r="P215" s="7"/>
      <c r="Q215" s="7"/>
    </row>
    <row r="216" spans="1:17" ht="15" customHeight="1">
      <c r="A216" s="83" t="s">
        <v>13</v>
      </c>
      <c r="B216" s="84"/>
      <c r="C216" s="18">
        <f>540176.34</f>
        <v>540176.34</v>
      </c>
      <c r="D216" s="25"/>
      <c r="E216" s="25"/>
      <c r="F216" s="25"/>
      <c r="H216" s="1"/>
      <c r="I216" s="24"/>
      <c r="J216" s="21"/>
      <c r="K216" s="21"/>
      <c r="L216" s="21"/>
      <c r="M216" s="21"/>
      <c r="N216" s="21"/>
      <c r="O216" s="21"/>
      <c r="P216" s="7"/>
      <c r="Q216" s="7"/>
    </row>
    <row r="217" spans="1:17" ht="15" customHeight="1">
      <c r="A217" s="89" t="s">
        <v>14</v>
      </c>
      <c r="B217" s="90"/>
      <c r="C217" s="18">
        <f>706719.6+4673.04+9564.59</f>
        <v>720957.23</v>
      </c>
      <c r="D217" s="25"/>
      <c r="E217" s="25"/>
      <c r="F217" s="25"/>
      <c r="H217" s="1"/>
      <c r="I217" s="24"/>
      <c r="J217" s="21"/>
      <c r="K217" s="21"/>
      <c r="L217" s="21"/>
      <c r="M217" s="21"/>
      <c r="N217" s="21"/>
      <c r="O217" s="21"/>
      <c r="P217" s="7"/>
      <c r="Q217" s="7"/>
    </row>
    <row r="218" spans="1:17" ht="15" customHeight="1">
      <c r="A218" s="83" t="s">
        <v>45</v>
      </c>
      <c r="B218" s="84"/>
      <c r="C218" s="18">
        <f>145825.48+19039.6/1.18</f>
        <v>161960.73423728815</v>
      </c>
      <c r="D218" s="25"/>
      <c r="E218" s="25"/>
      <c r="F218" s="25"/>
      <c r="H218" s="1"/>
      <c r="I218" s="24"/>
      <c r="J218" s="21"/>
      <c r="K218" s="21"/>
      <c r="L218" s="21"/>
      <c r="M218" s="21"/>
      <c r="N218" s="21"/>
      <c r="O218" s="21"/>
      <c r="P218" s="7"/>
      <c r="Q218" s="7"/>
    </row>
    <row r="219" spans="1:17" ht="15" customHeight="1">
      <c r="A219" s="19" t="s">
        <v>16</v>
      </c>
      <c r="B219" s="20"/>
      <c r="C219" s="18">
        <f>9441.66/1.18+265074.07</f>
        <v>273075.47677966102</v>
      </c>
      <c r="D219" s="25"/>
      <c r="E219" s="25"/>
      <c r="F219" s="25"/>
      <c r="H219" s="1"/>
      <c r="I219" s="24"/>
      <c r="J219" s="21"/>
      <c r="K219" s="21"/>
      <c r="L219" s="21"/>
      <c r="M219" s="21"/>
      <c r="N219" s="21"/>
      <c r="O219" s="21"/>
      <c r="P219" s="7"/>
      <c r="Q219" s="7"/>
    </row>
    <row r="220" spans="1:17" ht="15" customHeight="1" thickBot="1">
      <c r="A220" s="85" t="s">
        <v>17</v>
      </c>
      <c r="B220" s="86"/>
      <c r="C220" s="26">
        <v>628927.05000000005</v>
      </c>
      <c r="D220" s="25"/>
      <c r="E220" s="25"/>
      <c r="F220" s="25"/>
      <c r="H220" s="1"/>
      <c r="I220" s="24"/>
      <c r="J220" s="21"/>
      <c r="K220" s="21"/>
      <c r="L220" s="21"/>
      <c r="M220" s="21"/>
      <c r="N220" s="21"/>
      <c r="O220" s="21"/>
      <c r="P220" s="7"/>
      <c r="Q220" s="7"/>
    </row>
    <row r="221" spans="1:17" ht="15" customHeight="1" thickBot="1">
      <c r="A221" s="91" t="s">
        <v>7</v>
      </c>
      <c r="B221" s="92"/>
      <c r="C221" s="32">
        <f>SUM(C213:C220)</f>
        <v>2718042.8667796608</v>
      </c>
      <c r="D221" s="25"/>
      <c r="E221" s="25"/>
      <c r="F221" s="25"/>
      <c r="H221" s="1"/>
      <c r="I221" s="24"/>
      <c r="J221" s="21"/>
      <c r="K221" s="21"/>
      <c r="L221" s="21"/>
      <c r="M221" s="21"/>
      <c r="N221" s="21"/>
      <c r="O221" s="21"/>
      <c r="P221" s="7"/>
      <c r="Q221" s="7"/>
    </row>
    <row r="222" spans="1:17" ht="6.75" customHeight="1" thickBot="1">
      <c r="A222" s="67"/>
      <c r="B222" s="68"/>
      <c r="C222" s="32"/>
      <c r="D222" s="25"/>
      <c r="E222" s="25"/>
      <c r="F222" s="25"/>
      <c r="H222" s="1"/>
      <c r="I222" s="24"/>
      <c r="J222" s="21"/>
      <c r="K222" s="21"/>
      <c r="L222" s="21"/>
      <c r="M222" s="21"/>
      <c r="N222" s="21"/>
      <c r="O222" s="21"/>
      <c r="P222" s="7"/>
      <c r="Q222" s="7"/>
    </row>
    <row r="223" spans="1:17" ht="16.5" thickBot="1">
      <c r="A223" s="9" t="s">
        <v>31</v>
      </c>
      <c r="B223" s="10"/>
      <c r="C223" s="11"/>
      <c r="D223" s="4"/>
      <c r="E223" s="4"/>
      <c r="F223" s="4"/>
      <c r="G223" s="4"/>
      <c r="H223" s="8"/>
    </row>
    <row r="224" spans="1:17">
      <c r="A224" s="12" t="s">
        <v>1</v>
      </c>
      <c r="B224" s="13"/>
      <c r="C224" s="14"/>
      <c r="D224" s="4"/>
      <c r="E224" s="4"/>
      <c r="F224" s="4"/>
      <c r="G224" s="4"/>
      <c r="H224" s="8"/>
    </row>
    <row r="225" spans="1:17">
      <c r="A225" s="15" t="s">
        <v>48</v>
      </c>
      <c r="B225" s="16"/>
      <c r="C225" s="17">
        <v>1091028.8600000001</v>
      </c>
      <c r="D225" s="4"/>
      <c r="E225" s="4"/>
      <c r="F225" s="4"/>
      <c r="G225" s="4"/>
      <c r="H225" s="8"/>
    </row>
    <row r="226" spans="1:17">
      <c r="A226" s="15" t="s">
        <v>46</v>
      </c>
      <c r="B226" s="16"/>
      <c r="C226" s="17">
        <v>348698.8</v>
      </c>
      <c r="D226" s="4"/>
      <c r="E226" s="4"/>
      <c r="F226" s="4"/>
      <c r="G226" s="4"/>
      <c r="H226" s="8"/>
    </row>
    <row r="227" spans="1:17">
      <c r="A227" s="83" t="s">
        <v>2</v>
      </c>
      <c r="B227" s="84"/>
      <c r="C227" s="18">
        <f>234266.64+532980.66/1.18+619052.4+763110.66/1.18</f>
        <v>1951701.5145762712</v>
      </c>
      <c r="D227" s="4"/>
      <c r="E227" s="4"/>
      <c r="F227" s="4"/>
      <c r="G227" s="4"/>
      <c r="H227" s="8"/>
    </row>
    <row r="228" spans="1:17">
      <c r="A228" s="19" t="s">
        <v>6</v>
      </c>
      <c r="B228" s="20"/>
      <c r="C228" s="18">
        <v>58455.46</v>
      </c>
      <c r="D228" s="4"/>
      <c r="E228" s="4"/>
      <c r="F228" s="4"/>
      <c r="G228" s="4"/>
      <c r="H228" s="8"/>
    </row>
    <row r="229" spans="1:17">
      <c r="A229" s="19" t="s">
        <v>4</v>
      </c>
      <c r="B229" s="20"/>
      <c r="C229" s="18">
        <v>100999.46</v>
      </c>
      <c r="D229" s="4"/>
      <c r="E229" s="4"/>
      <c r="F229" s="4"/>
      <c r="G229" s="4"/>
      <c r="H229" s="8"/>
    </row>
    <row r="230" spans="1:17">
      <c r="A230" s="15" t="s">
        <v>7</v>
      </c>
      <c r="B230" s="22"/>
      <c r="C230" s="23">
        <f>SUM(C227:C229)</f>
        <v>2111156.4345762711</v>
      </c>
      <c r="D230" s="4"/>
      <c r="E230" s="4"/>
      <c r="F230" s="4"/>
      <c r="G230" s="4"/>
      <c r="H230" s="8"/>
    </row>
    <row r="231" spans="1:17">
      <c r="A231" s="15"/>
      <c r="B231" s="22"/>
      <c r="C231" s="23"/>
      <c r="D231" s="4"/>
      <c r="E231" s="4"/>
      <c r="F231" s="4"/>
      <c r="G231" s="4"/>
      <c r="H231" s="8"/>
    </row>
    <row r="232" spans="1:17">
      <c r="A232" s="79" t="s">
        <v>8</v>
      </c>
      <c r="B232" s="80"/>
      <c r="C232" s="14"/>
      <c r="D232" s="4"/>
      <c r="E232" s="4"/>
      <c r="F232" s="4"/>
      <c r="G232" s="4"/>
      <c r="H232" s="8"/>
    </row>
    <row r="233" spans="1:17" ht="15" customHeight="1">
      <c r="A233" s="81" t="s">
        <v>9</v>
      </c>
      <c r="B233" s="82"/>
      <c r="C233" s="18">
        <f>7898.72/1.18+238924.25+29.98+490.35/1.18+832.45/1.18+1986.25/1.18</f>
        <v>248452.34016949154</v>
      </c>
      <c r="D233" s="25"/>
      <c r="E233" s="25"/>
      <c r="F233" s="25"/>
      <c r="H233" s="2"/>
      <c r="I233" s="24"/>
      <c r="J233" s="21"/>
      <c r="K233" s="21"/>
      <c r="L233" s="21"/>
      <c r="M233" s="21"/>
      <c r="N233" s="21"/>
      <c r="O233" s="21"/>
      <c r="P233" s="7"/>
      <c r="Q233" s="7"/>
    </row>
    <row r="234" spans="1:17" ht="15" customHeight="1">
      <c r="A234" s="19" t="s">
        <v>22</v>
      </c>
      <c r="B234" s="20"/>
      <c r="C234" s="18">
        <f>2806.15/1.18</f>
        <v>2378.0932203389834</v>
      </c>
      <c r="D234" s="25"/>
      <c r="E234" s="25"/>
      <c r="F234" s="25"/>
      <c r="H234" s="1"/>
      <c r="I234" s="24"/>
      <c r="J234" s="21"/>
      <c r="K234" s="21"/>
      <c r="L234" s="21"/>
      <c r="M234" s="21"/>
      <c r="N234" s="21"/>
      <c r="O234" s="21"/>
      <c r="P234" s="7"/>
      <c r="Q234" s="7"/>
    </row>
    <row r="235" spans="1:17" ht="15" customHeight="1">
      <c r="A235" s="19" t="s">
        <v>11</v>
      </c>
      <c r="B235" s="20"/>
      <c r="C235" s="18">
        <f>4356.44/1.18</f>
        <v>3691.8983050847455</v>
      </c>
      <c r="D235" s="25"/>
      <c r="E235" s="25"/>
      <c r="F235" s="25"/>
      <c r="H235" s="1"/>
      <c r="I235" s="24"/>
      <c r="J235" s="21"/>
      <c r="K235" s="21"/>
      <c r="L235" s="21"/>
      <c r="M235" s="21"/>
      <c r="N235" s="21"/>
      <c r="O235" s="21"/>
      <c r="P235" s="7"/>
      <c r="Q235" s="7"/>
    </row>
    <row r="236" spans="1:17" ht="15" customHeight="1">
      <c r="A236" s="51" t="s">
        <v>50</v>
      </c>
      <c r="B236" s="52"/>
      <c r="C236" s="18">
        <v>38216</v>
      </c>
      <c r="D236" s="25"/>
      <c r="E236" s="25"/>
      <c r="F236" s="25"/>
      <c r="H236" s="1"/>
      <c r="I236" s="24"/>
      <c r="J236" s="21"/>
      <c r="K236" s="21"/>
      <c r="L236" s="21"/>
      <c r="M236" s="21"/>
      <c r="N236" s="21"/>
      <c r="O236" s="21"/>
      <c r="P236" s="7"/>
      <c r="Q236" s="7"/>
    </row>
    <row r="237" spans="1:17" ht="15" customHeight="1">
      <c r="A237" s="19" t="s">
        <v>12</v>
      </c>
      <c r="B237" s="20"/>
      <c r="C237" s="18">
        <v>54807.03</v>
      </c>
      <c r="D237" s="25"/>
      <c r="E237" s="25"/>
      <c r="F237" s="25"/>
      <c r="H237" s="1"/>
      <c r="I237" s="24"/>
      <c r="J237" s="21"/>
      <c r="K237" s="21"/>
      <c r="L237" s="21"/>
      <c r="M237" s="21"/>
      <c r="N237" s="21"/>
      <c r="O237" s="21"/>
      <c r="P237" s="7"/>
      <c r="Q237" s="7"/>
    </row>
    <row r="238" spans="1:17" ht="15" customHeight="1">
      <c r="A238" s="83" t="s">
        <v>13</v>
      </c>
      <c r="B238" s="84"/>
      <c r="C238" s="18">
        <v>292398.36</v>
      </c>
      <c r="D238" s="25"/>
      <c r="E238" s="25"/>
      <c r="F238" s="25"/>
      <c r="H238" s="1"/>
      <c r="I238" s="24"/>
      <c r="J238" s="21"/>
      <c r="K238" s="21"/>
      <c r="L238" s="21"/>
      <c r="M238" s="21"/>
      <c r="N238" s="21"/>
      <c r="O238" s="21"/>
      <c r="P238" s="7"/>
      <c r="Q238" s="7"/>
    </row>
    <row r="239" spans="1:17" ht="15" customHeight="1">
      <c r="A239" s="89" t="s">
        <v>14</v>
      </c>
      <c r="B239" s="90"/>
      <c r="C239" s="18">
        <f>551358.24+3575.35+7317.88</f>
        <v>562251.47</v>
      </c>
      <c r="D239" s="25"/>
      <c r="E239" s="25"/>
      <c r="F239" s="25"/>
      <c r="H239" s="1"/>
      <c r="I239" s="24"/>
      <c r="J239" s="21"/>
      <c r="K239" s="21"/>
      <c r="L239" s="21"/>
      <c r="M239" s="21"/>
      <c r="N239" s="21"/>
      <c r="O239" s="21"/>
      <c r="P239" s="7"/>
      <c r="Q239" s="7"/>
    </row>
    <row r="240" spans="1:17" ht="15" customHeight="1">
      <c r="A240" s="83" t="s">
        <v>45</v>
      </c>
      <c r="B240" s="84"/>
      <c r="C240" s="18">
        <f>111258.38+14567.21</f>
        <v>125825.59</v>
      </c>
      <c r="D240" s="25"/>
      <c r="E240" s="25"/>
      <c r="F240" s="25"/>
      <c r="H240" s="1"/>
      <c r="I240" s="24"/>
      <c r="J240" s="21"/>
      <c r="K240" s="21"/>
      <c r="L240" s="21"/>
      <c r="M240" s="21"/>
      <c r="N240" s="21"/>
      <c r="O240" s="21"/>
      <c r="P240" s="7"/>
      <c r="Q240" s="7"/>
    </row>
    <row r="241" spans="1:17" ht="15" customHeight="1">
      <c r="A241" s="19" t="s">
        <v>16</v>
      </c>
      <c r="B241" s="20"/>
      <c r="C241" s="18">
        <f>11054.13/1.18+202808.41</f>
        <v>212176.31677966102</v>
      </c>
      <c r="D241" s="25"/>
      <c r="E241" s="25"/>
      <c r="F241" s="25"/>
      <c r="H241" s="1"/>
      <c r="I241" s="24"/>
      <c r="J241" s="21"/>
      <c r="K241" s="21"/>
      <c r="L241" s="21"/>
      <c r="M241" s="21"/>
      <c r="N241" s="21"/>
      <c r="O241" s="21"/>
      <c r="P241" s="7"/>
      <c r="Q241" s="7"/>
    </row>
    <row r="242" spans="1:17" ht="15" customHeight="1" thickBot="1">
      <c r="A242" s="85" t="s">
        <v>17</v>
      </c>
      <c r="B242" s="86"/>
      <c r="C242" s="26">
        <f>481192.66</f>
        <v>481192.66</v>
      </c>
      <c r="D242" s="25"/>
      <c r="E242" s="25"/>
      <c r="F242" s="25"/>
      <c r="H242" s="1"/>
      <c r="I242" s="24"/>
      <c r="J242" s="21"/>
      <c r="K242" s="21"/>
      <c r="L242" s="21"/>
      <c r="M242" s="21"/>
      <c r="N242" s="21"/>
      <c r="O242" s="21"/>
      <c r="P242" s="7"/>
      <c r="Q242" s="7"/>
    </row>
    <row r="243" spans="1:17" ht="16.5" thickBot="1">
      <c r="A243" s="87" t="s">
        <v>32</v>
      </c>
      <c r="B243" s="88"/>
      <c r="C243" s="32">
        <f>SUM(C233:C242)</f>
        <v>2021389.7584745763</v>
      </c>
      <c r="D243" s="4"/>
      <c r="E243" s="4"/>
      <c r="F243" s="4"/>
      <c r="G243" s="4"/>
      <c r="H243" s="8"/>
    </row>
    <row r="244" spans="1:17" ht="6" customHeight="1" thickBot="1">
      <c r="A244" s="63"/>
      <c r="B244" s="64"/>
      <c r="C244" s="32"/>
      <c r="D244" s="4"/>
      <c r="E244" s="4"/>
      <c r="F244" s="4"/>
      <c r="G244" s="4"/>
      <c r="H244" s="8"/>
    </row>
    <row r="245" spans="1:17" ht="16.5" thickBot="1">
      <c r="A245" s="9" t="s">
        <v>33</v>
      </c>
      <c r="B245" s="10"/>
      <c r="C245" s="11"/>
      <c r="D245" s="4"/>
      <c r="E245" s="4"/>
      <c r="F245" s="4"/>
      <c r="G245" s="4"/>
      <c r="H245" s="8"/>
    </row>
    <row r="246" spans="1:17">
      <c r="A246" s="12" t="s">
        <v>1</v>
      </c>
      <c r="B246" s="13"/>
      <c r="C246" s="37"/>
      <c r="D246" s="4"/>
      <c r="E246" s="4"/>
      <c r="F246" s="4"/>
      <c r="G246" s="4"/>
      <c r="H246" s="8"/>
    </row>
    <row r="247" spans="1:17">
      <c r="A247" s="15" t="s">
        <v>48</v>
      </c>
      <c r="B247" s="16"/>
      <c r="C247" s="17">
        <v>1846079.91</v>
      </c>
      <c r="D247" s="4"/>
      <c r="E247" s="4"/>
      <c r="F247" s="4"/>
      <c r="G247" s="4"/>
      <c r="H247" s="8"/>
    </row>
    <row r="248" spans="1:17">
      <c r="A248" s="15" t="s">
        <v>46</v>
      </c>
      <c r="B248" s="16"/>
      <c r="C248" s="17">
        <v>474348.77</v>
      </c>
      <c r="D248" s="4"/>
      <c r="E248" s="4"/>
      <c r="F248" s="4"/>
      <c r="G248" s="4"/>
      <c r="H248" s="8"/>
    </row>
    <row r="249" spans="1:17">
      <c r="A249" s="83" t="s">
        <v>2</v>
      </c>
      <c r="B249" s="84"/>
      <c r="C249" s="18">
        <f>1067473.62/1.18+1540145.4+859398.06/1.18</f>
        <v>3173087.5016949158</v>
      </c>
      <c r="D249" s="4"/>
      <c r="E249" s="4"/>
      <c r="F249" s="4"/>
      <c r="G249" s="4"/>
      <c r="H249" s="2"/>
    </row>
    <row r="250" spans="1:17">
      <c r="A250" s="83" t="s">
        <v>3</v>
      </c>
      <c r="B250" s="84"/>
      <c r="C250" s="18">
        <f>65525.64/1.18+205573.56+186304.62/1.18</f>
        <v>418989.03457627119</v>
      </c>
      <c r="D250" s="4"/>
      <c r="E250" s="4"/>
      <c r="F250" s="4"/>
      <c r="G250" s="4"/>
      <c r="H250" s="8"/>
    </row>
    <row r="251" spans="1:17">
      <c r="A251" s="19" t="s">
        <v>4</v>
      </c>
      <c r="B251" s="20"/>
      <c r="C251" s="18">
        <v>19914.63</v>
      </c>
      <c r="E251" s="4"/>
      <c r="F251" s="4"/>
      <c r="G251" s="4"/>
      <c r="H251" s="8"/>
    </row>
    <row r="252" spans="1:17">
      <c r="A252" s="19" t="s">
        <v>6</v>
      </c>
      <c r="B252" s="20"/>
      <c r="C252" s="18">
        <v>90214.27</v>
      </c>
      <c r="D252" s="4"/>
      <c r="E252" s="4"/>
      <c r="F252" s="4"/>
      <c r="G252" s="4"/>
      <c r="H252" s="8"/>
    </row>
    <row r="253" spans="1:17">
      <c r="A253" s="19" t="s">
        <v>5</v>
      </c>
      <c r="B253" s="20"/>
      <c r="C253" s="18">
        <f>661260/1.18</f>
        <v>560389.83050847461</v>
      </c>
      <c r="D253" s="4"/>
      <c r="E253" s="4"/>
      <c r="F253" s="4"/>
      <c r="G253" s="4"/>
      <c r="H253" s="8"/>
    </row>
    <row r="254" spans="1:17">
      <c r="A254" s="15" t="s">
        <v>7</v>
      </c>
      <c r="B254" s="22"/>
      <c r="C254" s="23">
        <f>SUM(C249:C253)</f>
        <v>4262595.2667796612</v>
      </c>
      <c r="D254" s="4"/>
      <c r="E254" s="4"/>
      <c r="F254" s="4"/>
      <c r="G254" s="4"/>
      <c r="H254" s="8"/>
    </row>
    <row r="255" spans="1:17">
      <c r="A255" s="15"/>
      <c r="B255" s="22"/>
      <c r="C255" s="23"/>
      <c r="D255" s="4"/>
      <c r="E255" s="4"/>
      <c r="F255" s="4"/>
      <c r="G255" s="4"/>
      <c r="H255" s="8"/>
    </row>
    <row r="256" spans="1:17">
      <c r="A256" s="79" t="s">
        <v>8</v>
      </c>
      <c r="B256" s="80"/>
      <c r="C256" s="14"/>
      <c r="D256" s="4"/>
      <c r="E256" s="4"/>
      <c r="F256" s="4"/>
      <c r="G256" s="4"/>
      <c r="H256" s="8"/>
    </row>
    <row r="257" spans="1:17" ht="15" customHeight="1">
      <c r="A257" s="81" t="s">
        <v>9</v>
      </c>
      <c r="B257" s="82"/>
      <c r="C257" s="18">
        <f>2914.06/1.18+832.45/1.18+490.35/1.18+29.98+368731.61</f>
        <v>372352.14932203386</v>
      </c>
      <c r="D257" s="25"/>
      <c r="E257" s="25"/>
      <c r="F257" s="25"/>
      <c r="H257" s="1"/>
      <c r="I257" s="24"/>
      <c r="J257" s="21"/>
      <c r="K257" s="21"/>
      <c r="L257" s="21"/>
      <c r="M257" s="21"/>
      <c r="N257" s="21"/>
      <c r="O257" s="21"/>
      <c r="P257" s="7"/>
      <c r="Q257" s="7"/>
    </row>
    <row r="258" spans="1:17" ht="15" customHeight="1">
      <c r="A258" s="19" t="s">
        <v>22</v>
      </c>
      <c r="B258" s="20"/>
      <c r="C258" s="18">
        <f>10044.59/1.18</f>
        <v>8512.3644067796613</v>
      </c>
      <c r="D258" s="25"/>
      <c r="E258" s="25"/>
      <c r="F258" s="25"/>
      <c r="H258" s="2"/>
      <c r="I258" s="24"/>
      <c r="J258" s="21"/>
      <c r="K258" s="21"/>
      <c r="L258" s="21"/>
      <c r="M258" s="21"/>
      <c r="N258" s="21"/>
      <c r="O258" s="21"/>
      <c r="P258" s="7"/>
      <c r="Q258" s="7"/>
    </row>
    <row r="259" spans="1:17" ht="15" customHeight="1">
      <c r="A259" s="19" t="s">
        <v>11</v>
      </c>
      <c r="B259" s="20"/>
      <c r="C259" s="18">
        <f>8712.88/1.18</f>
        <v>7383.796610169491</v>
      </c>
      <c r="D259" s="25"/>
      <c r="E259" s="25"/>
      <c r="F259" s="25"/>
      <c r="H259" s="2"/>
      <c r="I259" s="24"/>
      <c r="J259" s="21"/>
      <c r="K259" s="21"/>
      <c r="L259" s="21"/>
      <c r="M259" s="21"/>
      <c r="N259" s="21"/>
      <c r="O259" s="21"/>
      <c r="P259" s="7"/>
      <c r="Q259" s="7"/>
    </row>
    <row r="260" spans="1:17" ht="15" customHeight="1">
      <c r="A260" s="61" t="s">
        <v>45</v>
      </c>
      <c r="B260" s="20"/>
      <c r="C260" s="18">
        <f>193048.7+22481.57</f>
        <v>215530.27000000002</v>
      </c>
      <c r="D260" s="25"/>
      <c r="E260" s="25"/>
      <c r="F260" s="25"/>
      <c r="H260" s="2"/>
      <c r="I260" s="24"/>
      <c r="J260" s="21"/>
      <c r="K260" s="21"/>
      <c r="L260" s="21"/>
      <c r="M260" s="21"/>
      <c r="N260" s="21"/>
      <c r="O260" s="21"/>
      <c r="P260" s="7"/>
      <c r="Q260" s="7"/>
    </row>
    <row r="261" spans="1:17" ht="15" customHeight="1">
      <c r="A261" s="49" t="s">
        <v>5</v>
      </c>
      <c r="B261" s="50"/>
      <c r="C261" s="18">
        <f>(97523.62+13100+112465.78+10952.59+104473.56+90401.12+25646)*1.302</f>
        <v>591840.59634000005</v>
      </c>
      <c r="D261" s="25"/>
      <c r="E261" s="25"/>
      <c r="F261" s="25"/>
      <c r="H261" s="2"/>
      <c r="I261" s="24"/>
      <c r="J261" s="21"/>
      <c r="K261" s="21"/>
      <c r="L261" s="21"/>
      <c r="M261" s="21"/>
      <c r="N261" s="21"/>
      <c r="O261" s="21"/>
      <c r="P261" s="7"/>
      <c r="Q261" s="7"/>
    </row>
    <row r="262" spans="1:17">
      <c r="A262" s="19" t="s">
        <v>12</v>
      </c>
      <c r="B262" s="20"/>
      <c r="C262" s="18">
        <v>84583.65</v>
      </c>
      <c r="D262" s="25"/>
      <c r="E262" s="25"/>
      <c r="F262" s="25"/>
      <c r="H262" s="1"/>
      <c r="I262" s="24"/>
      <c r="J262" s="21"/>
      <c r="K262" s="21"/>
      <c r="L262" s="21"/>
      <c r="M262" s="21"/>
      <c r="N262" s="21"/>
      <c r="O262" s="21"/>
      <c r="P262" s="7"/>
      <c r="Q262" s="7"/>
    </row>
    <row r="263" spans="1:17" ht="15" customHeight="1">
      <c r="A263" s="83" t="s">
        <v>13</v>
      </c>
      <c r="B263" s="84"/>
      <c r="C263" s="18">
        <v>824559.18</v>
      </c>
      <c r="D263" s="25"/>
      <c r="E263" s="25"/>
      <c r="F263" s="25"/>
      <c r="H263" s="1"/>
      <c r="I263" s="24"/>
      <c r="J263" s="21"/>
      <c r="K263" s="21"/>
      <c r="L263" s="21"/>
      <c r="M263" s="21"/>
      <c r="N263" s="21"/>
      <c r="O263" s="21"/>
      <c r="P263" s="7"/>
      <c r="Q263" s="7"/>
    </row>
    <row r="264" spans="1:17" ht="15" customHeight="1">
      <c r="A264" s="89" t="s">
        <v>14</v>
      </c>
      <c r="B264" s="90"/>
      <c r="C264" s="18">
        <f>925472.88+5517.83+11293.68</f>
        <v>942284.39</v>
      </c>
      <c r="D264" s="25"/>
      <c r="E264" s="25"/>
      <c r="F264" s="25"/>
      <c r="H264" s="1"/>
      <c r="I264" s="24"/>
      <c r="J264" s="21"/>
      <c r="K264" s="21"/>
      <c r="L264" s="21"/>
      <c r="M264" s="21"/>
      <c r="N264" s="21"/>
      <c r="O264" s="21"/>
      <c r="P264" s="7"/>
      <c r="Q264" s="7"/>
    </row>
    <row r="265" spans="1:17" ht="15" customHeight="1">
      <c r="A265" s="19" t="s">
        <v>16</v>
      </c>
      <c r="B265" s="20"/>
      <c r="C265" s="18">
        <f>14568.9/1.18+312994.06</f>
        <v>325340.5854237288</v>
      </c>
      <c r="D265" s="25"/>
      <c r="E265" s="25"/>
      <c r="F265" s="25"/>
      <c r="H265" s="1"/>
      <c r="I265" s="24"/>
      <c r="J265" s="21"/>
      <c r="K265" s="21"/>
      <c r="L265" s="21"/>
      <c r="M265" s="21"/>
      <c r="N265" s="21"/>
      <c r="O265" s="21"/>
      <c r="P265" s="7"/>
      <c r="Q265" s="7"/>
    </row>
    <row r="266" spans="1:17" ht="15" customHeight="1" thickBot="1">
      <c r="A266" s="85" t="s">
        <v>17</v>
      </c>
      <c r="B266" s="86"/>
      <c r="C266" s="26">
        <v>742624.25</v>
      </c>
      <c r="D266" s="25"/>
      <c r="E266" s="25"/>
      <c r="F266" s="25"/>
      <c r="H266" s="1"/>
      <c r="I266" s="24"/>
      <c r="J266" s="21"/>
      <c r="K266" s="21"/>
      <c r="L266" s="21"/>
      <c r="M266" s="21"/>
      <c r="N266" s="21"/>
      <c r="O266" s="21"/>
      <c r="P266" s="7"/>
      <c r="Q266" s="7"/>
    </row>
    <row r="267" spans="1:17" ht="15" customHeight="1" thickBot="1">
      <c r="A267" s="91" t="s">
        <v>7</v>
      </c>
      <c r="B267" s="92"/>
      <c r="C267" s="32">
        <f>SUM(C257:C266)</f>
        <v>4115011.2321027122</v>
      </c>
      <c r="D267" s="25"/>
      <c r="E267" s="25"/>
      <c r="F267" s="25"/>
      <c r="H267" s="1"/>
      <c r="I267" s="24"/>
      <c r="J267" s="21"/>
      <c r="K267" s="21"/>
      <c r="L267" s="21"/>
      <c r="M267" s="21"/>
      <c r="N267" s="21"/>
      <c r="O267" s="21"/>
      <c r="P267" s="7"/>
      <c r="Q267" s="7"/>
    </row>
    <row r="268" spans="1:17" ht="5.25" customHeight="1" thickBot="1">
      <c r="A268" s="67"/>
      <c r="B268" s="68"/>
      <c r="C268" s="32"/>
      <c r="D268" s="25"/>
      <c r="E268" s="25"/>
      <c r="F268" s="25"/>
      <c r="H268" s="1"/>
      <c r="I268" s="24"/>
      <c r="J268" s="21"/>
      <c r="K268" s="21"/>
      <c r="L268" s="21"/>
      <c r="M268" s="21"/>
      <c r="N268" s="21"/>
      <c r="O268" s="21"/>
      <c r="P268" s="7"/>
      <c r="Q268" s="7"/>
    </row>
    <row r="269" spans="1:17" ht="16.5" thickBot="1">
      <c r="A269" s="9" t="s">
        <v>34</v>
      </c>
      <c r="B269" s="10"/>
      <c r="C269" s="11"/>
      <c r="D269" s="4"/>
      <c r="E269" s="4"/>
      <c r="F269" s="4"/>
      <c r="G269" s="4"/>
      <c r="H269" s="8"/>
    </row>
    <row r="270" spans="1:17">
      <c r="A270" s="12" t="s">
        <v>1</v>
      </c>
      <c r="B270" s="13"/>
      <c r="C270" s="37"/>
      <c r="D270" s="4"/>
      <c r="E270" s="4"/>
      <c r="F270" s="4"/>
      <c r="G270" s="4"/>
      <c r="H270" s="2"/>
    </row>
    <row r="271" spans="1:17">
      <c r="A271" s="15" t="s">
        <v>48</v>
      </c>
      <c r="B271" s="16"/>
      <c r="C271" s="17">
        <v>502618.24</v>
      </c>
      <c r="D271" s="4"/>
      <c r="E271" s="4"/>
      <c r="F271" s="4"/>
      <c r="G271" s="4"/>
      <c r="H271" s="2"/>
    </row>
    <row r="272" spans="1:17">
      <c r="A272" s="15" t="s">
        <v>46</v>
      </c>
      <c r="B272" s="16"/>
      <c r="C272" s="17">
        <v>158934.54999999999</v>
      </c>
      <c r="D272" s="4"/>
      <c r="E272" s="4"/>
      <c r="F272" s="4"/>
      <c r="G272" s="4"/>
      <c r="H272" s="2"/>
    </row>
    <row r="273" spans="1:17">
      <c r="A273" s="83" t="s">
        <v>2</v>
      </c>
      <c r="B273" s="84"/>
      <c r="C273" s="18">
        <f>417316.2+514429.5/1.18</f>
        <v>853273.40338983061</v>
      </c>
      <c r="D273" s="4"/>
      <c r="E273" s="84"/>
      <c r="F273" s="84"/>
      <c r="G273" s="43"/>
      <c r="H273" s="8"/>
    </row>
    <row r="274" spans="1:17">
      <c r="A274" s="83" t="s">
        <v>3</v>
      </c>
      <c r="B274" s="84"/>
      <c r="C274" s="18">
        <f>39431.64+48607.68/1.18</f>
        <v>80624.589152542379</v>
      </c>
      <c r="D274" s="4"/>
      <c r="E274" s="84"/>
      <c r="F274" s="84"/>
      <c r="G274" s="43"/>
      <c r="H274" s="8"/>
    </row>
    <row r="275" spans="1:17">
      <c r="A275" s="19" t="s">
        <v>4</v>
      </c>
      <c r="B275" s="20"/>
      <c r="C275" s="18">
        <v>18890.89</v>
      </c>
      <c r="D275" s="4"/>
      <c r="E275" s="20"/>
      <c r="F275" s="20"/>
      <c r="G275" s="43"/>
      <c r="H275" s="8"/>
    </row>
    <row r="276" spans="1:17">
      <c r="A276" s="19" t="s">
        <v>6</v>
      </c>
      <c r="B276" s="20"/>
      <c r="C276" s="18">
        <v>24766.07</v>
      </c>
      <c r="D276" s="4"/>
      <c r="E276" s="20"/>
      <c r="F276" s="20"/>
      <c r="G276" s="43"/>
      <c r="H276" s="8"/>
    </row>
    <row r="277" spans="1:17">
      <c r="A277" s="15" t="s">
        <v>7</v>
      </c>
      <c r="B277" s="22"/>
      <c r="C277" s="23">
        <f>SUM(C273:C276)</f>
        <v>977554.95254237298</v>
      </c>
      <c r="E277" s="22"/>
      <c r="F277" s="22"/>
      <c r="G277" s="44"/>
      <c r="H277" s="8"/>
    </row>
    <row r="278" spans="1:17">
      <c r="A278" s="15"/>
      <c r="B278" s="22"/>
      <c r="C278" s="23"/>
      <c r="E278" s="22"/>
      <c r="F278" s="22"/>
      <c r="G278" s="44"/>
      <c r="H278" s="8"/>
    </row>
    <row r="279" spans="1:17">
      <c r="A279" s="79" t="s">
        <v>8</v>
      </c>
      <c r="B279" s="80"/>
      <c r="C279" s="14"/>
      <c r="D279" s="4"/>
      <c r="E279" s="16"/>
      <c r="F279" s="16"/>
      <c r="G279" s="25"/>
      <c r="H279" s="8"/>
    </row>
    <row r="280" spans="1:17" ht="15" customHeight="1">
      <c r="A280" s="81" t="s">
        <v>9</v>
      </c>
      <c r="B280" s="82"/>
      <c r="C280" s="18">
        <f>6310.06/1.18+832.45/1.18+29.97+101226.05</f>
        <v>107308.99457627119</v>
      </c>
      <c r="D280" s="25"/>
      <c r="E280" s="78"/>
      <c r="F280" s="78"/>
      <c r="G280" s="25"/>
      <c r="H280" s="1"/>
      <c r="I280" s="24"/>
      <c r="J280" s="21"/>
      <c r="K280" s="21"/>
      <c r="L280" s="21"/>
      <c r="M280" s="21"/>
      <c r="N280" s="21"/>
      <c r="O280" s="21"/>
      <c r="P280" s="7"/>
      <c r="Q280" s="7"/>
    </row>
    <row r="281" spans="1:17" ht="15" customHeight="1">
      <c r="A281" s="19" t="s">
        <v>11</v>
      </c>
      <c r="B281" s="20"/>
      <c r="C281" s="18">
        <f>4356/1.18</f>
        <v>3691.5254237288136</v>
      </c>
      <c r="D281" s="25"/>
      <c r="E281" s="84"/>
      <c r="F281" s="84"/>
      <c r="G281" s="43"/>
      <c r="H281" s="1"/>
      <c r="I281" s="24"/>
      <c r="J281" s="21"/>
      <c r="K281" s="21"/>
      <c r="L281" s="21"/>
      <c r="M281" s="21"/>
      <c r="N281" s="21"/>
      <c r="O281" s="21"/>
      <c r="P281" s="7"/>
      <c r="Q281" s="7"/>
    </row>
    <row r="282" spans="1:17" ht="15" customHeight="1">
      <c r="A282" s="19" t="s">
        <v>12</v>
      </c>
      <c r="B282" s="20"/>
      <c r="C282" s="18">
        <v>24766.07</v>
      </c>
      <c r="D282" s="25"/>
      <c r="E282" s="84"/>
      <c r="F282" s="84"/>
      <c r="G282" s="43"/>
      <c r="H282" s="1"/>
      <c r="I282" s="24"/>
      <c r="J282" s="21"/>
      <c r="K282" s="21"/>
      <c r="L282" s="21"/>
      <c r="M282" s="21"/>
      <c r="N282" s="21"/>
      <c r="O282" s="21"/>
      <c r="P282" s="7"/>
      <c r="Q282" s="7"/>
    </row>
    <row r="283" spans="1:17" ht="15" customHeight="1">
      <c r="A283" s="83" t="s">
        <v>13</v>
      </c>
      <c r="B283" s="84"/>
      <c r="C283" s="18">
        <v>215736.72</v>
      </c>
      <c r="D283" s="25"/>
      <c r="E283" s="84"/>
      <c r="F283" s="84"/>
      <c r="G283" s="43"/>
      <c r="H283" s="1"/>
      <c r="I283" s="24"/>
      <c r="J283" s="21"/>
      <c r="K283" s="21"/>
      <c r="L283" s="21"/>
      <c r="M283" s="21"/>
      <c r="N283" s="21"/>
      <c r="O283" s="21"/>
      <c r="P283" s="7"/>
      <c r="Q283" s="7"/>
    </row>
    <row r="284" spans="1:17" ht="15" customHeight="1">
      <c r="A284" s="89" t="s">
        <v>14</v>
      </c>
      <c r="B284" s="90"/>
      <c r="C284" s="18">
        <f>242139.6+1514.78+3100.4</f>
        <v>246754.78</v>
      </c>
      <c r="D284" s="25"/>
      <c r="E284" s="20"/>
      <c r="F284" s="20"/>
      <c r="G284" s="43"/>
      <c r="H284" s="1"/>
      <c r="I284" s="24"/>
      <c r="J284" s="21"/>
      <c r="K284" s="21"/>
      <c r="L284" s="21"/>
      <c r="M284" s="21"/>
      <c r="N284" s="21"/>
      <c r="O284" s="21"/>
      <c r="P284" s="7"/>
      <c r="Q284" s="7"/>
    </row>
    <row r="285" spans="1:17" ht="15" customHeight="1">
      <c r="A285" s="41" t="s">
        <v>19</v>
      </c>
      <c r="B285" s="42"/>
      <c r="C285" s="18">
        <f>6583.8</f>
        <v>6583.8</v>
      </c>
      <c r="D285" s="25"/>
      <c r="E285" s="84"/>
      <c r="F285" s="84"/>
      <c r="G285" s="43"/>
      <c r="H285" s="1"/>
      <c r="I285" s="24"/>
      <c r="J285" s="21"/>
      <c r="K285" s="21"/>
      <c r="L285" s="21"/>
      <c r="M285" s="21"/>
      <c r="N285" s="21"/>
      <c r="O285" s="21"/>
      <c r="P285" s="7"/>
      <c r="Q285" s="7"/>
    </row>
    <row r="286" spans="1:17" ht="15" customHeight="1">
      <c r="A286" s="83" t="s">
        <v>45</v>
      </c>
      <c r="B286" s="84"/>
      <c r="C286" s="18">
        <f>50771.46+6171.75/1.18</f>
        <v>56001.75661016949</v>
      </c>
      <c r="D286" s="25"/>
      <c r="E286" s="20"/>
      <c r="F286" s="20"/>
      <c r="G286" s="43"/>
      <c r="H286" s="1"/>
      <c r="I286" s="24"/>
      <c r="J286" s="21"/>
      <c r="K286" s="21"/>
      <c r="L286" s="21"/>
      <c r="M286" s="21"/>
      <c r="N286" s="21"/>
      <c r="O286" s="21"/>
      <c r="P286" s="7"/>
      <c r="Q286" s="7"/>
    </row>
    <row r="287" spans="1:17" ht="15" customHeight="1">
      <c r="A287" s="83" t="s">
        <v>16</v>
      </c>
      <c r="B287" s="84"/>
      <c r="C287" s="18">
        <f>6444.12/1.18+85924.7</f>
        <v>91385.818644067796</v>
      </c>
      <c r="D287" s="25"/>
      <c r="E287" s="84"/>
      <c r="F287" s="84"/>
      <c r="G287" s="43"/>
      <c r="H287" s="1"/>
      <c r="I287" s="24"/>
      <c r="J287" s="21"/>
      <c r="K287" s="21"/>
      <c r="L287" s="21"/>
      <c r="M287" s="21"/>
      <c r="N287" s="21"/>
      <c r="O287" s="21"/>
      <c r="P287" s="7"/>
      <c r="Q287" s="7"/>
    </row>
    <row r="288" spans="1:17" ht="15" customHeight="1" thickBot="1">
      <c r="A288" s="30" t="s">
        <v>17</v>
      </c>
      <c r="B288" s="31"/>
      <c r="C288" s="26">
        <v>203868.92</v>
      </c>
      <c r="D288" s="25"/>
      <c r="E288" s="20"/>
      <c r="F288" s="20"/>
      <c r="G288" s="43"/>
      <c r="H288" s="1"/>
      <c r="I288" s="24"/>
      <c r="J288" s="21"/>
      <c r="K288" s="21"/>
      <c r="L288" s="21"/>
      <c r="M288" s="21"/>
      <c r="N288" s="21"/>
      <c r="O288" s="21"/>
      <c r="P288" s="7"/>
      <c r="Q288" s="7"/>
    </row>
    <row r="289" spans="1:17" ht="15" customHeight="1" thickBot="1">
      <c r="A289" s="91" t="s">
        <v>7</v>
      </c>
      <c r="B289" s="92"/>
      <c r="C289" s="32">
        <f>SUM(C280:C288)</f>
        <v>956098.38525423745</v>
      </c>
      <c r="D289" s="25"/>
      <c r="E289" s="93"/>
      <c r="F289" s="93"/>
      <c r="G289" s="44"/>
      <c r="H289" s="1"/>
      <c r="I289" s="24"/>
      <c r="J289" s="21"/>
      <c r="K289" s="21"/>
      <c r="L289" s="21"/>
      <c r="M289" s="21"/>
      <c r="N289" s="21"/>
      <c r="O289" s="21"/>
      <c r="P289" s="7"/>
      <c r="Q289" s="7"/>
    </row>
    <row r="290" spans="1:17" ht="5.25" customHeight="1" thickBot="1">
      <c r="A290" s="67"/>
      <c r="B290" s="68"/>
      <c r="C290" s="32"/>
      <c r="D290" s="25"/>
      <c r="E290" s="69"/>
      <c r="F290" s="69"/>
      <c r="G290" s="44"/>
      <c r="H290" s="1"/>
      <c r="I290" s="24"/>
      <c r="J290" s="21"/>
      <c r="K290" s="21"/>
      <c r="L290" s="21"/>
      <c r="M290" s="21"/>
      <c r="N290" s="21"/>
      <c r="O290" s="21"/>
      <c r="P290" s="7"/>
      <c r="Q290" s="7"/>
    </row>
    <row r="291" spans="1:17" ht="16.5" thickBot="1">
      <c r="A291" s="9" t="s">
        <v>35</v>
      </c>
      <c r="B291" s="10"/>
      <c r="C291" s="11"/>
      <c r="D291" s="4"/>
      <c r="E291" s="4"/>
      <c r="F291" s="4"/>
      <c r="G291" s="4"/>
      <c r="H291" s="8"/>
    </row>
    <row r="292" spans="1:17">
      <c r="A292" s="35" t="s">
        <v>1</v>
      </c>
      <c r="B292" s="36"/>
      <c r="C292" s="37"/>
      <c r="D292" s="4"/>
      <c r="E292" s="4"/>
      <c r="F292" s="4"/>
      <c r="G292" s="4"/>
      <c r="H292" s="8"/>
    </row>
    <row r="293" spans="1:17">
      <c r="A293" s="15" t="s">
        <v>48</v>
      </c>
      <c r="B293" s="33"/>
      <c r="C293" s="17">
        <v>242233.21</v>
      </c>
      <c r="D293" s="4"/>
      <c r="E293" s="4"/>
      <c r="F293" s="4"/>
      <c r="G293" s="4"/>
      <c r="H293" s="8"/>
    </row>
    <row r="294" spans="1:17">
      <c r="A294" s="15" t="s">
        <v>46</v>
      </c>
      <c r="B294" s="16"/>
      <c r="C294" s="17">
        <v>60207.69</v>
      </c>
      <c r="D294" s="4"/>
      <c r="E294" s="4"/>
      <c r="F294" s="4"/>
      <c r="G294" s="4"/>
      <c r="H294" s="8"/>
    </row>
    <row r="295" spans="1:17">
      <c r="A295" s="83" t="s">
        <v>2</v>
      </c>
      <c r="B295" s="84"/>
      <c r="C295" s="18">
        <f>433285.8+534114.72/1.18</f>
        <v>885925.39322033897</v>
      </c>
      <c r="D295" s="4"/>
      <c r="E295" s="4"/>
      <c r="F295" s="4"/>
      <c r="G295" s="4"/>
      <c r="H295" s="8"/>
    </row>
    <row r="296" spans="1:17">
      <c r="A296" s="83" t="s">
        <v>3</v>
      </c>
      <c r="B296" s="84"/>
      <c r="C296" s="18">
        <f>67071.3+82679.34/1.18</f>
        <v>137138.53728813562</v>
      </c>
      <c r="D296" s="4"/>
      <c r="E296" s="4"/>
      <c r="F296" s="4"/>
      <c r="G296" s="4"/>
      <c r="H296" s="2"/>
    </row>
    <row r="297" spans="1:17">
      <c r="A297" s="19" t="s">
        <v>4</v>
      </c>
      <c r="B297" s="20"/>
      <c r="C297" s="18">
        <v>168368.52</v>
      </c>
      <c r="D297" s="4"/>
      <c r="E297" s="4"/>
      <c r="F297" s="4"/>
      <c r="G297" s="4"/>
      <c r="H297" s="2"/>
    </row>
    <row r="298" spans="1:17">
      <c r="A298" s="19" t="s">
        <v>6</v>
      </c>
      <c r="B298" s="20"/>
      <c r="C298" s="18">
        <v>25479.53</v>
      </c>
      <c r="D298" s="4"/>
      <c r="E298" s="4"/>
      <c r="F298" s="4"/>
      <c r="G298" s="4"/>
    </row>
    <row r="299" spans="1:17">
      <c r="A299" s="15" t="s">
        <v>7</v>
      </c>
      <c r="B299" s="22"/>
      <c r="C299" s="23">
        <f>SUM(C295:C298)</f>
        <v>1216911.9805084746</v>
      </c>
      <c r="D299" s="4"/>
      <c r="E299" s="25"/>
      <c r="F299" s="25"/>
      <c r="G299" s="25"/>
    </row>
    <row r="300" spans="1:17">
      <c r="A300" s="15"/>
      <c r="B300" s="22"/>
      <c r="C300" s="23"/>
      <c r="D300" s="4"/>
      <c r="E300" s="25"/>
      <c r="F300" s="25"/>
      <c r="G300" s="25"/>
    </row>
    <row r="301" spans="1:17">
      <c r="A301" s="79" t="s">
        <v>8</v>
      </c>
      <c r="B301" s="80"/>
      <c r="C301" s="14"/>
      <c r="E301" s="25"/>
      <c r="F301" s="25"/>
      <c r="G301" s="25"/>
      <c r="H301" s="6"/>
    </row>
    <row r="302" spans="1:17" ht="15" customHeight="1">
      <c r="A302" s="81" t="s">
        <v>9</v>
      </c>
      <c r="B302" s="82"/>
      <c r="C302" s="18">
        <f>18525.8/1.18+104142.17+832.45/1.18+490.35/1.18+29.98</f>
        <v>120992.99745762711</v>
      </c>
      <c r="D302" s="25"/>
      <c r="E302" s="84"/>
      <c r="F302" s="84"/>
      <c r="G302" s="43"/>
      <c r="H302" s="1"/>
      <c r="I302" s="24"/>
      <c r="J302" s="21"/>
      <c r="K302" s="21"/>
      <c r="L302" s="21"/>
      <c r="M302" s="21"/>
      <c r="N302" s="21"/>
      <c r="O302" s="21"/>
      <c r="P302" s="7"/>
      <c r="Q302" s="7"/>
    </row>
    <row r="303" spans="1:17" ht="15" customHeight="1">
      <c r="A303" s="19" t="s">
        <v>11</v>
      </c>
      <c r="B303" s="20"/>
      <c r="C303" s="18">
        <f>4356.44/1.18</f>
        <v>3691.8983050847455</v>
      </c>
      <c r="D303" s="25"/>
      <c r="E303" s="84"/>
      <c r="F303" s="84"/>
      <c r="G303" s="43"/>
      <c r="H303" s="1"/>
      <c r="I303" s="24"/>
      <c r="J303" s="21"/>
      <c r="K303" s="21"/>
      <c r="L303" s="21"/>
      <c r="M303" s="21"/>
      <c r="N303" s="21"/>
      <c r="O303" s="21"/>
      <c r="P303" s="7"/>
      <c r="Q303" s="7"/>
    </row>
    <row r="304" spans="1:17" ht="15" customHeight="1">
      <c r="A304" s="19" t="s">
        <v>36</v>
      </c>
      <c r="B304" s="20"/>
      <c r="C304" s="18">
        <v>25384.71</v>
      </c>
      <c r="D304" s="25"/>
      <c r="E304" s="84"/>
      <c r="F304" s="84"/>
      <c r="G304" s="43"/>
      <c r="H304" s="1"/>
      <c r="I304" s="24"/>
      <c r="J304" s="21"/>
      <c r="K304" s="21"/>
      <c r="L304" s="21"/>
      <c r="M304" s="21"/>
      <c r="N304" s="21"/>
      <c r="O304" s="21"/>
      <c r="P304" s="7"/>
      <c r="Q304" s="7"/>
    </row>
    <row r="305" spans="1:17" ht="15" customHeight="1">
      <c r="A305" s="83" t="s">
        <v>13</v>
      </c>
      <c r="B305" s="84"/>
      <c r="C305" s="18">
        <v>236334.66</v>
      </c>
      <c r="D305" s="25"/>
      <c r="E305" s="84"/>
      <c r="F305" s="84"/>
      <c r="G305" s="43"/>
      <c r="H305" s="1"/>
      <c r="I305" s="24"/>
      <c r="J305" s="21"/>
      <c r="K305" s="21"/>
      <c r="L305" s="21"/>
      <c r="M305" s="21"/>
      <c r="N305" s="21"/>
      <c r="O305" s="21"/>
      <c r="P305" s="7"/>
      <c r="Q305" s="7"/>
    </row>
    <row r="306" spans="1:17" ht="15" customHeight="1">
      <c r="A306" s="89" t="s">
        <v>14</v>
      </c>
      <c r="B306" s="90"/>
      <c r="C306" s="18">
        <f>30+265258.5+1558.42+3189.71</f>
        <v>270036.63</v>
      </c>
      <c r="D306" s="25"/>
      <c r="E306" s="20"/>
      <c r="F306" s="20"/>
      <c r="G306" s="43"/>
      <c r="H306" s="1"/>
      <c r="I306" s="24"/>
      <c r="J306" s="21"/>
      <c r="K306" s="21"/>
      <c r="L306" s="21"/>
      <c r="M306" s="21"/>
      <c r="N306" s="21"/>
      <c r="O306" s="21"/>
      <c r="P306" s="7"/>
      <c r="Q306" s="7"/>
    </row>
    <row r="307" spans="1:17" ht="15" customHeight="1">
      <c r="A307" s="41" t="s">
        <v>19</v>
      </c>
      <c r="B307" s="42"/>
      <c r="C307" s="18">
        <f>7212.36</f>
        <v>7212.36</v>
      </c>
      <c r="D307" s="25"/>
      <c r="E307" s="20"/>
      <c r="F307" s="20"/>
      <c r="G307" s="43"/>
      <c r="H307" s="1"/>
      <c r="I307" s="24"/>
      <c r="J307" s="21"/>
      <c r="K307" s="21"/>
      <c r="L307" s="21"/>
      <c r="M307" s="21"/>
      <c r="N307" s="21"/>
      <c r="O307" s="21"/>
      <c r="P307" s="7"/>
      <c r="Q307" s="7"/>
    </row>
    <row r="308" spans="1:17" ht="15" customHeight="1">
      <c r="A308" s="83" t="s">
        <v>45</v>
      </c>
      <c r="B308" s="84"/>
      <c r="C308" s="18">
        <f>55505.56+6349.55</f>
        <v>61855.11</v>
      </c>
      <c r="D308" s="25"/>
      <c r="E308" s="84"/>
      <c r="F308" s="84"/>
      <c r="G308" s="43"/>
      <c r="H308" s="1"/>
      <c r="I308" s="24"/>
      <c r="J308" s="21"/>
      <c r="K308" s="21"/>
      <c r="L308" s="21"/>
      <c r="M308" s="21"/>
      <c r="N308" s="21"/>
      <c r="O308" s="21"/>
      <c r="P308" s="7"/>
      <c r="Q308" s="7"/>
    </row>
    <row r="309" spans="1:17" ht="15" customHeight="1">
      <c r="A309" s="61" t="s">
        <v>55</v>
      </c>
      <c r="B309" s="62"/>
      <c r="C309" s="18">
        <f>14368.82+2124.2</f>
        <v>16493.02</v>
      </c>
      <c r="D309" s="25"/>
      <c r="E309" s="62"/>
      <c r="F309" s="62"/>
      <c r="G309" s="43"/>
      <c r="H309" s="1"/>
      <c r="I309" s="24"/>
      <c r="J309" s="21"/>
      <c r="K309" s="21"/>
      <c r="L309" s="21"/>
      <c r="M309" s="21"/>
      <c r="N309" s="21"/>
      <c r="O309" s="21"/>
      <c r="P309" s="7"/>
      <c r="Q309" s="7"/>
    </row>
    <row r="310" spans="1:17" ht="15" customHeight="1">
      <c r="A310" s="83" t="s">
        <v>16</v>
      </c>
      <c r="B310" s="84"/>
      <c r="C310" s="18">
        <f>6700.98/1.18+88400.02</f>
        <v>94078.816610169495</v>
      </c>
      <c r="D310" s="25"/>
      <c r="E310" s="20"/>
      <c r="F310" s="20"/>
      <c r="G310" s="43"/>
      <c r="H310" s="1"/>
      <c r="I310" s="24"/>
      <c r="J310" s="21"/>
      <c r="K310" s="21"/>
      <c r="L310" s="21"/>
      <c r="M310" s="21"/>
      <c r="N310" s="21"/>
      <c r="O310" s="21"/>
      <c r="P310" s="7"/>
      <c r="Q310" s="7"/>
    </row>
    <row r="311" spans="1:17" ht="15" customHeight="1">
      <c r="A311" s="61" t="s">
        <v>52</v>
      </c>
      <c r="B311" s="62"/>
      <c r="C311" s="18">
        <v>63406</v>
      </c>
      <c r="D311" s="25"/>
      <c r="E311" s="62"/>
      <c r="F311" s="62"/>
      <c r="G311" s="43"/>
      <c r="H311" s="1"/>
      <c r="I311" s="24"/>
      <c r="J311" s="21"/>
      <c r="K311" s="21"/>
      <c r="L311" s="21"/>
      <c r="M311" s="21"/>
      <c r="N311" s="21"/>
      <c r="O311" s="21"/>
      <c r="P311" s="7"/>
      <c r="Q311" s="7"/>
    </row>
    <row r="312" spans="1:17" ht="15" customHeight="1">
      <c r="A312" s="61" t="s">
        <v>54</v>
      </c>
      <c r="B312" s="62"/>
      <c r="C312" s="18">
        <v>146784.93</v>
      </c>
      <c r="D312" s="25"/>
      <c r="E312" s="62"/>
      <c r="F312" s="62"/>
      <c r="G312" s="43"/>
      <c r="H312" s="1"/>
      <c r="I312" s="24"/>
      <c r="J312" s="21"/>
      <c r="K312" s="21"/>
      <c r="L312" s="21"/>
      <c r="M312" s="21"/>
      <c r="N312" s="21"/>
      <c r="O312" s="21"/>
      <c r="P312" s="7"/>
      <c r="Q312" s="7"/>
    </row>
    <row r="313" spans="1:17" ht="15" customHeight="1">
      <c r="A313" s="61" t="s">
        <v>53</v>
      </c>
      <c r="B313" s="62"/>
      <c r="C313" s="18">
        <v>6450</v>
      </c>
      <c r="D313" s="25"/>
      <c r="E313" s="62"/>
      <c r="F313" s="62"/>
      <c r="G313" s="43"/>
      <c r="H313" s="1"/>
      <c r="I313" s="24"/>
      <c r="J313" s="21"/>
      <c r="K313" s="21"/>
      <c r="L313" s="21"/>
      <c r="M313" s="21"/>
      <c r="N313" s="21"/>
      <c r="O313" s="21"/>
      <c r="P313" s="7"/>
      <c r="Q313" s="7"/>
    </row>
    <row r="314" spans="1:17" ht="15" customHeight="1" thickBot="1">
      <c r="A314" s="85" t="s">
        <v>17</v>
      </c>
      <c r="B314" s="86"/>
      <c r="C314" s="26">
        <v>209741.99</v>
      </c>
      <c r="D314" s="25"/>
      <c r="E314" s="93"/>
      <c r="F314" s="93"/>
      <c r="G314" s="44"/>
      <c r="H314" s="1"/>
      <c r="I314" s="24"/>
      <c r="J314" s="21"/>
      <c r="K314" s="21"/>
      <c r="L314" s="21"/>
      <c r="M314" s="21"/>
      <c r="N314" s="21"/>
      <c r="O314" s="21"/>
      <c r="P314" s="7"/>
      <c r="Q314" s="7"/>
    </row>
    <row r="315" spans="1:17" ht="16.5" thickBot="1">
      <c r="A315" s="91" t="s">
        <v>7</v>
      </c>
      <c r="B315" s="92"/>
      <c r="C315" s="32">
        <f>SUM(C302:C314)</f>
        <v>1262463.1223728813</v>
      </c>
      <c r="D315" s="4"/>
      <c r="E315" s="25"/>
      <c r="F315" s="25"/>
      <c r="G315" s="25"/>
      <c r="H315" s="8"/>
    </row>
    <row r="316" spans="1:17" ht="6" customHeight="1" thickBot="1">
      <c r="A316" s="67"/>
      <c r="B316" s="68"/>
      <c r="C316" s="32"/>
      <c r="D316" s="4"/>
      <c r="E316" s="25"/>
      <c r="F316" s="25"/>
      <c r="G316" s="25"/>
      <c r="H316" s="8"/>
    </row>
    <row r="317" spans="1:17" s="16" customFormat="1" ht="16.5" thickBot="1">
      <c r="A317" s="74" t="s">
        <v>37</v>
      </c>
      <c r="B317" s="75"/>
      <c r="C317" s="76"/>
      <c r="D317" s="45"/>
      <c r="E317" s="46"/>
      <c r="F317" s="46"/>
      <c r="G317" s="46"/>
      <c r="H317" s="25"/>
    </row>
    <row r="318" spans="1:17" s="16" customFormat="1">
      <c r="A318" s="35" t="s">
        <v>1</v>
      </c>
      <c r="B318" s="36"/>
      <c r="C318" s="77"/>
      <c r="D318" s="45"/>
      <c r="E318" s="46"/>
      <c r="F318" s="46"/>
      <c r="G318" s="46"/>
      <c r="H318" s="25"/>
    </row>
    <row r="319" spans="1:17" s="16" customFormat="1">
      <c r="A319" s="15" t="s">
        <v>48</v>
      </c>
      <c r="C319" s="17">
        <v>1531300.06</v>
      </c>
      <c r="D319" s="45"/>
      <c r="E319" s="46"/>
      <c r="F319" s="46"/>
      <c r="G319" s="46"/>
      <c r="H319" s="25"/>
    </row>
    <row r="320" spans="1:17" s="16" customFormat="1">
      <c r="A320" s="15" t="s">
        <v>46</v>
      </c>
      <c r="C320" s="17">
        <v>453629.92</v>
      </c>
      <c r="D320" s="45"/>
      <c r="E320" s="46"/>
      <c r="F320" s="46"/>
      <c r="G320" s="46"/>
      <c r="H320" s="25"/>
    </row>
    <row r="321" spans="1:17" s="16" customFormat="1">
      <c r="A321" s="83" t="s">
        <v>2</v>
      </c>
      <c r="B321" s="84"/>
      <c r="C321" s="18">
        <f>1169559.24/1.18+923599.62</f>
        <v>1914751.5183050847</v>
      </c>
      <c r="D321" s="45"/>
      <c r="E321" s="46"/>
      <c r="F321" s="46"/>
      <c r="G321" s="46"/>
      <c r="H321" s="25"/>
    </row>
    <row r="322" spans="1:17" s="16" customFormat="1">
      <c r="A322" s="61" t="s">
        <v>6</v>
      </c>
      <c r="B322" s="62"/>
      <c r="C322" s="18">
        <v>52862.75</v>
      </c>
      <c r="D322" s="45"/>
      <c r="E322" s="46"/>
      <c r="F322" s="46"/>
      <c r="G322" s="46"/>
      <c r="H322" s="2"/>
    </row>
    <row r="323" spans="1:17" s="16" customFormat="1">
      <c r="A323" s="83" t="s">
        <v>38</v>
      </c>
      <c r="B323" s="84"/>
      <c r="C323" s="18">
        <f>80050.14/1.18+63215.64</f>
        <v>131054.74169491525</v>
      </c>
      <c r="D323" s="45"/>
      <c r="E323" s="46"/>
      <c r="F323" s="46"/>
      <c r="G323" s="46"/>
      <c r="H323" s="25"/>
    </row>
    <row r="324" spans="1:17" s="16" customFormat="1">
      <c r="A324" s="61" t="s">
        <v>4</v>
      </c>
      <c r="B324" s="62"/>
      <c r="C324" s="18">
        <v>17815.09</v>
      </c>
      <c r="D324" s="45"/>
      <c r="E324" s="46"/>
      <c r="F324" s="46"/>
      <c r="G324" s="46"/>
      <c r="H324" s="25"/>
    </row>
    <row r="325" spans="1:17" s="16" customFormat="1">
      <c r="A325" s="15" t="s">
        <v>7</v>
      </c>
      <c r="B325" s="22"/>
      <c r="C325" s="23">
        <f>SUM(C321:C324)</f>
        <v>2116484.0999999996</v>
      </c>
      <c r="D325" s="45"/>
      <c r="E325" s="46"/>
      <c r="F325" s="46"/>
      <c r="G325" s="46"/>
      <c r="H325" s="25"/>
    </row>
    <row r="326" spans="1:17" s="16" customFormat="1">
      <c r="A326" s="15"/>
      <c r="B326" s="22"/>
      <c r="C326" s="23"/>
      <c r="D326" s="45"/>
      <c r="E326" s="46"/>
      <c r="F326" s="46"/>
      <c r="G326" s="46"/>
      <c r="H326" s="25"/>
    </row>
    <row r="327" spans="1:17" s="16" customFormat="1">
      <c r="A327" s="79" t="s">
        <v>8</v>
      </c>
      <c r="B327" s="80"/>
      <c r="C327" s="47"/>
      <c r="D327" s="45"/>
      <c r="E327" s="46"/>
      <c r="F327" s="46"/>
      <c r="G327" s="46"/>
      <c r="H327" s="25"/>
    </row>
    <row r="328" spans="1:17" ht="15" customHeight="1">
      <c r="A328" s="83" t="s">
        <v>9</v>
      </c>
      <c r="B328" s="84"/>
      <c r="C328" s="18">
        <f>22574.75/1.18+2432.01/1.18+490.35/1.18+29.98+216065.25+608.57/1.18</f>
        <v>238218.68762711866</v>
      </c>
      <c r="D328" s="25"/>
      <c r="E328" s="25"/>
      <c r="F328" s="25"/>
      <c r="H328" s="1"/>
      <c r="I328" s="24"/>
      <c r="J328" s="21"/>
      <c r="K328" s="21"/>
      <c r="L328" s="21"/>
      <c r="M328" s="21"/>
      <c r="N328" s="21"/>
      <c r="O328" s="21"/>
      <c r="P328" s="7"/>
      <c r="Q328" s="7"/>
    </row>
    <row r="329" spans="1:17" ht="15" customHeight="1">
      <c r="A329" s="61" t="s">
        <v>11</v>
      </c>
      <c r="B329" s="62"/>
      <c r="C329" s="18">
        <f>4752.48/1.18</f>
        <v>4027.5254237288136</v>
      </c>
      <c r="D329" s="25"/>
      <c r="E329" s="25"/>
      <c r="F329" s="25"/>
      <c r="H329" s="1"/>
      <c r="I329" s="24"/>
      <c r="J329" s="21"/>
      <c r="K329" s="21"/>
      <c r="L329" s="21"/>
      <c r="M329" s="21"/>
      <c r="N329" s="21"/>
      <c r="O329" s="21"/>
      <c r="P329" s="7"/>
      <c r="Q329" s="7"/>
    </row>
    <row r="330" spans="1:17" ht="15" customHeight="1">
      <c r="A330" s="61" t="s">
        <v>22</v>
      </c>
      <c r="B330" s="62"/>
      <c r="C330" s="18">
        <f>6064.67/1.18</f>
        <v>5139.5508474576272</v>
      </c>
      <c r="D330" s="25"/>
      <c r="E330" s="25"/>
      <c r="F330" s="25"/>
      <c r="H330" s="1"/>
      <c r="I330" s="24"/>
      <c r="J330" s="21"/>
      <c r="K330" s="21"/>
      <c r="L330" s="21"/>
      <c r="M330" s="21"/>
      <c r="N330" s="21"/>
      <c r="O330" s="21"/>
      <c r="P330" s="7"/>
      <c r="Q330" s="7"/>
    </row>
    <row r="331" spans="1:17" ht="15" customHeight="1">
      <c r="A331" s="61" t="s">
        <v>12</v>
      </c>
      <c r="B331" s="62"/>
      <c r="C331" s="18">
        <v>49563.39</v>
      </c>
      <c r="D331" s="25"/>
      <c r="E331" s="25"/>
      <c r="F331" s="25"/>
      <c r="H331" s="1"/>
      <c r="I331" s="24"/>
      <c r="J331" s="21"/>
      <c r="K331" s="21"/>
      <c r="L331" s="21"/>
      <c r="M331" s="21"/>
      <c r="N331" s="21"/>
      <c r="O331" s="21"/>
      <c r="P331" s="7"/>
      <c r="Q331" s="7"/>
    </row>
    <row r="332" spans="1:17" ht="15" customHeight="1">
      <c r="A332" s="83" t="s">
        <v>13</v>
      </c>
      <c r="B332" s="84"/>
      <c r="C332" s="18">
        <v>466267.98</v>
      </c>
      <c r="D332" s="25"/>
      <c r="E332" s="25"/>
      <c r="F332" s="25"/>
      <c r="H332" s="1"/>
      <c r="I332" s="24"/>
      <c r="J332" s="21"/>
      <c r="K332" s="21"/>
      <c r="L332" s="21"/>
      <c r="M332" s="21"/>
      <c r="N332" s="21"/>
      <c r="O332" s="21"/>
      <c r="P332" s="7"/>
      <c r="Q332" s="7"/>
    </row>
    <row r="333" spans="1:17" ht="15" customHeight="1">
      <c r="A333" s="89" t="s">
        <v>14</v>
      </c>
      <c r="B333" s="90"/>
      <c r="C333" s="18">
        <f>523321.98+3233.28+6617.74</f>
        <v>533173</v>
      </c>
      <c r="D333" s="25"/>
      <c r="E333" s="25"/>
      <c r="F333" s="25"/>
      <c r="H333" s="1"/>
      <c r="I333" s="24"/>
      <c r="J333" s="21"/>
      <c r="K333" s="21"/>
      <c r="L333" s="21"/>
      <c r="M333" s="21"/>
      <c r="N333" s="21"/>
      <c r="O333" s="21"/>
      <c r="P333" s="7"/>
      <c r="Q333" s="7"/>
    </row>
    <row r="334" spans="1:17" ht="15" customHeight="1">
      <c r="A334" s="65" t="s">
        <v>30</v>
      </c>
      <c r="B334" s="66"/>
      <c r="C334" s="18">
        <f>4134.97</f>
        <v>4134.97</v>
      </c>
      <c r="D334" s="25"/>
      <c r="E334" s="25"/>
      <c r="F334" s="25"/>
      <c r="H334" s="1"/>
      <c r="I334" s="24"/>
      <c r="J334" s="21"/>
      <c r="K334" s="21"/>
      <c r="L334" s="21"/>
      <c r="M334" s="21"/>
      <c r="N334" s="21"/>
      <c r="O334" s="21"/>
      <c r="P334" s="7"/>
      <c r="Q334" s="7"/>
    </row>
    <row r="335" spans="1:17" ht="15" customHeight="1">
      <c r="A335" s="65" t="s">
        <v>19</v>
      </c>
      <c r="B335" s="66"/>
      <c r="C335" s="18">
        <v>14229.36</v>
      </c>
      <c r="D335" s="25"/>
      <c r="E335" s="25"/>
      <c r="F335" s="25"/>
      <c r="H335" s="1"/>
      <c r="I335" s="24"/>
      <c r="J335" s="21"/>
      <c r="K335" s="21"/>
      <c r="L335" s="21"/>
      <c r="M335" s="21"/>
      <c r="N335" s="21"/>
      <c r="O335" s="21"/>
      <c r="P335" s="7"/>
      <c r="Q335" s="7"/>
    </row>
    <row r="336" spans="1:17" ht="15" customHeight="1">
      <c r="A336" s="83" t="s">
        <v>45</v>
      </c>
      <c r="B336" s="84"/>
      <c r="C336" s="18">
        <f>112007.74+1608+13173.5</f>
        <v>126789.24</v>
      </c>
      <c r="D336" s="25"/>
      <c r="E336" s="25"/>
      <c r="F336" s="25"/>
      <c r="H336" s="1"/>
      <c r="I336" s="24"/>
      <c r="J336" s="21"/>
      <c r="K336" s="21"/>
      <c r="L336" s="21"/>
      <c r="M336" s="21"/>
      <c r="N336" s="21"/>
      <c r="O336" s="21"/>
      <c r="P336" s="7"/>
      <c r="Q336" s="7"/>
    </row>
    <row r="337" spans="1:17" ht="15" customHeight="1">
      <c r="A337" s="61" t="s">
        <v>16</v>
      </c>
      <c r="B337" s="62"/>
      <c r="C337" s="18">
        <f>9417.37/1.18+183404.78</f>
        <v>191385.60203389829</v>
      </c>
      <c r="D337" s="25"/>
      <c r="E337" s="25"/>
      <c r="F337" s="25"/>
      <c r="H337" s="1"/>
      <c r="I337" s="24"/>
      <c r="J337" s="21"/>
      <c r="K337" s="21"/>
      <c r="L337" s="21"/>
      <c r="M337" s="21"/>
      <c r="N337" s="21"/>
      <c r="O337" s="21"/>
      <c r="P337" s="7"/>
      <c r="Q337" s="7"/>
    </row>
    <row r="338" spans="1:17" ht="15" customHeight="1" thickBot="1">
      <c r="A338" s="85" t="s">
        <v>17</v>
      </c>
      <c r="B338" s="86"/>
      <c r="C338" s="26">
        <v>435154.7</v>
      </c>
      <c r="D338" s="25"/>
      <c r="E338" s="25"/>
      <c r="F338" s="25"/>
      <c r="H338" s="1"/>
      <c r="I338" s="24"/>
      <c r="J338" s="21"/>
      <c r="K338" s="21"/>
      <c r="L338" s="21"/>
      <c r="M338" s="21"/>
      <c r="N338" s="21"/>
      <c r="O338" s="21"/>
      <c r="P338" s="7"/>
      <c r="Q338" s="7"/>
    </row>
    <row r="339" spans="1:17" ht="15" customHeight="1" thickBot="1">
      <c r="A339" s="91" t="s">
        <v>7</v>
      </c>
      <c r="B339" s="92"/>
      <c r="C339" s="32">
        <f>SUM(C328:C338)</f>
        <v>2068084.0059322033</v>
      </c>
      <c r="D339" s="25"/>
      <c r="E339" s="25"/>
      <c r="F339" s="25"/>
      <c r="H339" s="1"/>
      <c r="I339" s="24"/>
      <c r="J339" s="21"/>
      <c r="K339" s="21"/>
      <c r="L339" s="21"/>
      <c r="M339" s="21"/>
      <c r="N339" s="21"/>
      <c r="O339" s="21"/>
      <c r="P339" s="7"/>
      <c r="Q339" s="7"/>
    </row>
    <row r="340" spans="1:17" ht="6.75" customHeight="1" thickBot="1">
      <c r="A340" s="67"/>
      <c r="B340" s="68"/>
      <c r="C340" s="32"/>
      <c r="D340" s="25"/>
      <c r="E340" s="25"/>
      <c r="F340" s="25"/>
      <c r="H340" s="1"/>
      <c r="I340" s="24"/>
      <c r="J340" s="21"/>
      <c r="K340" s="21"/>
      <c r="L340" s="21"/>
      <c r="M340" s="21"/>
      <c r="N340" s="21"/>
      <c r="O340" s="21"/>
      <c r="P340" s="7"/>
      <c r="Q340" s="7"/>
    </row>
    <row r="341" spans="1:17" s="16" customFormat="1" ht="16.5" thickBot="1">
      <c r="A341" s="9" t="s">
        <v>39</v>
      </c>
      <c r="B341" s="10"/>
      <c r="C341" s="11"/>
      <c r="D341" s="25"/>
      <c r="E341" s="25"/>
      <c r="F341" s="25"/>
      <c r="G341" s="25"/>
      <c r="H341" s="25"/>
    </row>
    <row r="342" spans="1:17" s="16" customFormat="1">
      <c r="A342" s="12" t="s">
        <v>1</v>
      </c>
      <c r="B342" s="13"/>
      <c r="C342" s="14"/>
      <c r="D342" s="25"/>
      <c r="E342" s="25"/>
      <c r="F342" s="25"/>
      <c r="G342" s="25"/>
      <c r="H342" s="25"/>
    </row>
    <row r="343" spans="1:17" s="16" customFormat="1">
      <c r="A343" s="15" t="s">
        <v>48</v>
      </c>
      <c r="C343" s="17">
        <v>731063.32</v>
      </c>
      <c r="D343" s="25"/>
      <c r="E343" s="25"/>
      <c r="F343" s="25"/>
      <c r="G343" s="25"/>
      <c r="H343" s="25"/>
    </row>
    <row r="344" spans="1:17" s="16" customFormat="1">
      <c r="A344" s="15" t="s">
        <v>46</v>
      </c>
      <c r="C344" s="17">
        <v>237803.88</v>
      </c>
      <c r="D344" s="25"/>
      <c r="E344" s="25"/>
      <c r="F344" s="25"/>
      <c r="G344" s="25"/>
      <c r="H344" s="25"/>
    </row>
    <row r="345" spans="1:17" s="16" customFormat="1">
      <c r="A345" s="83" t="s">
        <v>2</v>
      </c>
      <c r="B345" s="84"/>
      <c r="C345" s="18">
        <f>980962.68/1.18+774665.94</f>
        <v>1605990.2450847458</v>
      </c>
      <c r="D345" s="25"/>
      <c r="E345" s="25"/>
      <c r="F345" s="25"/>
      <c r="G345" s="25"/>
      <c r="H345" s="2"/>
    </row>
    <row r="346" spans="1:17" s="16" customFormat="1">
      <c r="A346" s="83" t="s">
        <v>3</v>
      </c>
      <c r="B346" s="84"/>
      <c r="C346" s="18">
        <f>73799.1/1.18+58278.96</f>
        <v>120820.57016949153</v>
      </c>
      <c r="D346" s="25"/>
      <c r="E346" s="25"/>
      <c r="F346" s="25"/>
      <c r="G346" s="25"/>
      <c r="H346" s="25"/>
    </row>
    <row r="347" spans="1:17" s="16" customFormat="1">
      <c r="A347" s="19" t="s">
        <v>6</v>
      </c>
      <c r="B347" s="20"/>
      <c r="C347" s="18">
        <v>44342.9</v>
      </c>
      <c r="D347" s="25"/>
      <c r="E347" s="25"/>
      <c r="F347" s="25"/>
      <c r="G347" s="25"/>
      <c r="H347" s="25"/>
    </row>
    <row r="348" spans="1:17" s="16" customFormat="1">
      <c r="A348" s="19" t="s">
        <v>4</v>
      </c>
      <c r="B348" s="20"/>
      <c r="C348" s="18">
        <v>57264.41</v>
      </c>
      <c r="D348" s="25"/>
      <c r="E348" s="25"/>
      <c r="F348" s="25"/>
      <c r="G348" s="25"/>
      <c r="H348" s="25"/>
    </row>
    <row r="349" spans="1:17" s="16" customFormat="1">
      <c r="A349" s="15" t="s">
        <v>7</v>
      </c>
      <c r="B349" s="22"/>
      <c r="C349" s="23">
        <f>SUM(C345:C348)</f>
        <v>1828418.1252542371</v>
      </c>
      <c r="D349" s="25"/>
      <c r="E349" s="25"/>
      <c r="F349" s="25"/>
      <c r="G349" s="25"/>
      <c r="H349" s="25"/>
    </row>
    <row r="350" spans="1:17" s="16" customFormat="1">
      <c r="A350" s="15"/>
      <c r="B350" s="22"/>
      <c r="C350" s="23"/>
      <c r="D350" s="25"/>
      <c r="E350" s="25"/>
      <c r="F350" s="25"/>
      <c r="G350" s="25"/>
      <c r="H350" s="25"/>
    </row>
    <row r="351" spans="1:17" s="16" customFormat="1">
      <c r="A351" s="79" t="s">
        <v>8</v>
      </c>
      <c r="B351" s="80"/>
      <c r="C351" s="14"/>
      <c r="D351" s="25"/>
      <c r="E351" s="25"/>
      <c r="F351" s="25"/>
      <c r="G351" s="25"/>
      <c r="H351" s="25"/>
    </row>
    <row r="352" spans="1:17" ht="15" customHeight="1">
      <c r="A352" s="81" t="s">
        <v>9</v>
      </c>
      <c r="B352" s="82"/>
      <c r="C352" s="18">
        <f>10498.71/1.18+181242.17+29.98+490.35/1.18+2096.01/1.18</f>
        <v>192361.19237288137</v>
      </c>
      <c r="D352" s="25"/>
      <c r="E352" s="25"/>
      <c r="F352" s="25"/>
      <c r="H352" s="1"/>
      <c r="I352" s="24"/>
      <c r="J352" s="21"/>
      <c r="K352" s="21"/>
      <c r="L352" s="21"/>
      <c r="M352" s="21"/>
      <c r="N352" s="21"/>
      <c r="O352" s="21"/>
      <c r="P352" s="7"/>
      <c r="Q352" s="7"/>
    </row>
    <row r="353" spans="1:17" ht="15" customHeight="1">
      <c r="A353" s="19" t="s">
        <v>11</v>
      </c>
      <c r="B353" s="20"/>
      <c r="C353" s="18">
        <f>4752.48/1.18</f>
        <v>4027.5254237288136</v>
      </c>
      <c r="D353" s="25"/>
      <c r="E353" s="25"/>
      <c r="F353" s="25"/>
      <c r="H353" s="1"/>
      <c r="I353" s="24"/>
      <c r="J353" s="21"/>
      <c r="K353" s="21"/>
      <c r="L353" s="21"/>
      <c r="M353" s="21"/>
      <c r="N353" s="21"/>
      <c r="O353" s="21"/>
      <c r="P353" s="7"/>
      <c r="Q353" s="7"/>
    </row>
    <row r="354" spans="1:17" ht="15" customHeight="1">
      <c r="A354" s="19" t="s">
        <v>12</v>
      </c>
      <c r="B354" s="20"/>
      <c r="C354" s="18">
        <v>41575.29</v>
      </c>
      <c r="D354" s="25"/>
      <c r="E354" s="25"/>
      <c r="F354" s="25"/>
      <c r="H354" s="1"/>
      <c r="I354" s="24"/>
      <c r="J354" s="21"/>
      <c r="K354" s="21"/>
      <c r="L354" s="21"/>
      <c r="M354" s="21"/>
      <c r="N354" s="21"/>
      <c r="O354" s="21"/>
      <c r="P354" s="7"/>
      <c r="Q354" s="7"/>
    </row>
    <row r="355" spans="1:17" ht="15" customHeight="1">
      <c r="A355" s="83" t="s">
        <v>13</v>
      </c>
      <c r="B355" s="84"/>
      <c r="C355" s="18">
        <v>393426.48</v>
      </c>
      <c r="D355" s="25"/>
      <c r="E355" s="25"/>
      <c r="F355" s="25"/>
      <c r="H355" s="1"/>
      <c r="I355" s="24"/>
      <c r="J355" s="21"/>
      <c r="K355" s="21"/>
      <c r="L355" s="21"/>
      <c r="M355" s="21"/>
      <c r="N355" s="21"/>
      <c r="O355" s="21"/>
      <c r="P355" s="7"/>
      <c r="Q355" s="7"/>
    </row>
    <row r="356" spans="1:17" ht="15" customHeight="1">
      <c r="A356" s="89" t="s">
        <v>14</v>
      </c>
      <c r="B356" s="90"/>
      <c r="C356" s="18">
        <f>441576+2712.17+5551.17</f>
        <v>449839.33999999997</v>
      </c>
      <c r="D356" s="25"/>
      <c r="E356" s="25"/>
      <c r="F356" s="25"/>
      <c r="H356" s="1"/>
      <c r="I356" s="24"/>
      <c r="J356" s="21"/>
      <c r="K356" s="21"/>
      <c r="L356" s="21"/>
      <c r="M356" s="21"/>
      <c r="N356" s="21"/>
      <c r="O356" s="21"/>
      <c r="P356" s="7"/>
      <c r="Q356" s="7"/>
    </row>
    <row r="357" spans="1:17" ht="15" customHeight="1">
      <c r="A357" s="41" t="s">
        <v>19</v>
      </c>
      <c r="B357" s="42"/>
      <c r="C357" s="18">
        <f>12006.36</f>
        <v>12006.36</v>
      </c>
      <c r="D357" s="25"/>
      <c r="E357" s="25"/>
      <c r="F357" s="25"/>
      <c r="H357" s="1"/>
      <c r="I357" s="24"/>
      <c r="J357" s="21"/>
      <c r="K357" s="21"/>
      <c r="L357" s="21"/>
      <c r="M357" s="21"/>
      <c r="N357" s="21"/>
      <c r="O357" s="21"/>
      <c r="P357" s="7"/>
      <c r="Q357" s="7"/>
    </row>
    <row r="358" spans="1:17" ht="15" customHeight="1">
      <c r="A358" s="83" t="s">
        <v>45</v>
      </c>
      <c r="B358" s="84"/>
      <c r="C358" s="18">
        <f>92545.48+1608+11050.34</f>
        <v>105203.81999999999</v>
      </c>
      <c r="D358" s="25"/>
      <c r="E358" s="25"/>
      <c r="F358" s="25"/>
      <c r="H358" s="1"/>
      <c r="I358" s="24"/>
      <c r="J358" s="21"/>
      <c r="K358" s="21"/>
      <c r="L358" s="21"/>
      <c r="M358" s="21"/>
      <c r="N358" s="21"/>
      <c r="O358" s="21"/>
      <c r="P358" s="7"/>
      <c r="Q358" s="7"/>
    </row>
    <row r="359" spans="1:17" ht="15" customHeight="1">
      <c r="A359" s="19" t="s">
        <v>16</v>
      </c>
      <c r="B359" s="20"/>
      <c r="C359" s="18">
        <f>7823.3/1.18+153845.57</f>
        <v>160475.48525423728</v>
      </c>
      <c r="D359" s="25"/>
      <c r="E359" s="25"/>
      <c r="F359" s="25"/>
      <c r="H359" s="1"/>
      <c r="I359" s="24"/>
      <c r="J359" s="21"/>
      <c r="K359" s="21"/>
      <c r="L359" s="21"/>
      <c r="M359" s="21"/>
      <c r="N359" s="21"/>
      <c r="O359" s="21"/>
      <c r="P359" s="7"/>
      <c r="Q359" s="7"/>
    </row>
    <row r="360" spans="1:17" ht="15" customHeight="1" thickBot="1">
      <c r="A360" s="85" t="s">
        <v>17</v>
      </c>
      <c r="B360" s="86"/>
      <c r="C360" s="26">
        <v>365021.14</v>
      </c>
      <c r="D360" s="25"/>
      <c r="E360" s="25"/>
      <c r="F360" s="25"/>
      <c r="H360" s="1"/>
      <c r="I360" s="24"/>
      <c r="J360" s="21"/>
      <c r="K360" s="21"/>
      <c r="L360" s="21"/>
      <c r="M360" s="21"/>
      <c r="N360" s="21"/>
      <c r="O360" s="21"/>
      <c r="P360" s="7"/>
      <c r="Q360" s="7"/>
    </row>
    <row r="361" spans="1:17" ht="16.5" thickBot="1">
      <c r="A361" s="91" t="s">
        <v>7</v>
      </c>
      <c r="B361" s="92"/>
      <c r="C361" s="32">
        <f>SUM(C352:C360)</f>
        <v>1723936.6330508473</v>
      </c>
      <c r="D361" s="4"/>
      <c r="E361" s="4"/>
      <c r="F361" s="4"/>
      <c r="G361" s="4"/>
      <c r="H361" s="8"/>
    </row>
    <row r="362" spans="1:17" ht="8.25" customHeight="1" thickBot="1">
      <c r="A362" s="67"/>
      <c r="B362" s="68"/>
      <c r="C362" s="32"/>
      <c r="D362" s="4"/>
      <c r="E362" s="4"/>
      <c r="F362" s="4"/>
      <c r="G362" s="4"/>
      <c r="H362" s="8"/>
    </row>
    <row r="363" spans="1:17" s="16" customFormat="1" ht="16.5" thickBot="1">
      <c r="A363" s="9" t="s">
        <v>40</v>
      </c>
      <c r="B363" s="10"/>
      <c r="C363" s="48"/>
      <c r="D363" s="25"/>
      <c r="E363" s="25"/>
      <c r="F363" s="25"/>
      <c r="G363" s="25"/>
      <c r="H363" s="25"/>
    </row>
    <row r="364" spans="1:17" s="16" customFormat="1">
      <c r="A364" s="12" t="s">
        <v>1</v>
      </c>
      <c r="B364" s="13"/>
      <c r="C364" s="47"/>
      <c r="D364" s="25"/>
      <c r="E364" s="25"/>
      <c r="F364" s="25"/>
      <c r="G364" s="25"/>
      <c r="H364" s="25"/>
    </row>
    <row r="365" spans="1:17" s="16" customFormat="1">
      <c r="A365" s="15" t="s">
        <v>48</v>
      </c>
      <c r="C365" s="17">
        <v>1182197.7</v>
      </c>
      <c r="D365" s="25"/>
      <c r="E365" s="25"/>
      <c r="F365" s="25"/>
      <c r="G365" s="25"/>
      <c r="H365" s="25"/>
    </row>
    <row r="366" spans="1:17" s="16" customFormat="1">
      <c r="A366" s="15" t="s">
        <v>46</v>
      </c>
      <c r="C366" s="17">
        <v>412384.59</v>
      </c>
      <c r="D366" s="25"/>
      <c r="E366" s="25"/>
      <c r="F366" s="25"/>
      <c r="G366" s="25"/>
      <c r="H366" s="25"/>
    </row>
    <row r="367" spans="1:17" s="16" customFormat="1">
      <c r="A367" s="83" t="s">
        <v>2</v>
      </c>
      <c r="B367" s="84"/>
      <c r="C367" s="18">
        <f>1509181.98/1.18+1191800.16</f>
        <v>2470767.9396610167</v>
      </c>
      <c r="D367" s="25"/>
      <c r="E367" s="25"/>
      <c r="F367" s="25"/>
      <c r="G367" s="25"/>
      <c r="H367" s="2"/>
    </row>
    <row r="368" spans="1:17" s="16" customFormat="1">
      <c r="A368" s="83" t="s">
        <v>3</v>
      </c>
      <c r="B368" s="84"/>
      <c r="C368" s="18">
        <f>97681.02/1.18+77138.7</f>
        <v>159919.22542372881</v>
      </c>
      <c r="D368" s="25"/>
      <c r="E368" s="25"/>
      <c r="F368" s="25"/>
      <c r="G368" s="25"/>
      <c r="H368" s="25"/>
    </row>
    <row r="369" spans="1:17" s="16" customFormat="1">
      <c r="A369" s="19" t="s">
        <v>6</v>
      </c>
      <c r="B369" s="20"/>
      <c r="C369" s="18">
        <v>70331.48</v>
      </c>
      <c r="D369" s="25"/>
      <c r="E369" s="25"/>
      <c r="F369" s="25"/>
      <c r="G369" s="25"/>
      <c r="H369" s="25"/>
    </row>
    <row r="370" spans="1:17" s="16" customFormat="1">
      <c r="A370" s="19" t="s">
        <v>4</v>
      </c>
      <c r="B370" s="20"/>
      <c r="C370" s="18">
        <v>20565.009999999998</v>
      </c>
      <c r="D370" s="25"/>
      <c r="E370" s="25"/>
      <c r="F370" s="25"/>
      <c r="G370" s="25"/>
      <c r="H370" s="25"/>
    </row>
    <row r="371" spans="1:17" s="16" customFormat="1">
      <c r="A371" s="15" t="s">
        <v>7</v>
      </c>
      <c r="B371" s="22"/>
      <c r="C371" s="23">
        <f>SUM(C367:C370)</f>
        <v>2721583.6550847455</v>
      </c>
      <c r="D371" s="25"/>
      <c r="E371" s="25"/>
      <c r="F371" s="25"/>
      <c r="G371" s="25"/>
      <c r="H371" s="25"/>
    </row>
    <row r="372" spans="1:17" s="16" customFormat="1">
      <c r="A372" s="15"/>
      <c r="B372" s="22"/>
      <c r="C372" s="23"/>
      <c r="D372" s="25"/>
      <c r="E372" s="25"/>
      <c r="F372" s="25"/>
      <c r="G372" s="25"/>
      <c r="H372" s="25"/>
    </row>
    <row r="373" spans="1:17" s="16" customFormat="1">
      <c r="A373" s="79" t="s">
        <v>8</v>
      </c>
      <c r="B373" s="80"/>
      <c r="C373" s="14"/>
      <c r="D373" s="25"/>
      <c r="E373" s="25"/>
      <c r="F373" s="25"/>
      <c r="G373" s="25"/>
      <c r="H373" s="25"/>
    </row>
    <row r="374" spans="1:17" ht="15" customHeight="1">
      <c r="A374" s="81" t="s">
        <v>9</v>
      </c>
      <c r="B374" s="82"/>
      <c r="C374" s="18">
        <f>11818.93/1.18+287464.93+2941.01/1.18+490.35/1.18+200/1.18+29.98</f>
        <v>300588.37610169488</v>
      </c>
      <c r="D374" s="25"/>
      <c r="E374" s="25"/>
      <c r="F374" s="25"/>
      <c r="H374" s="1"/>
      <c r="I374" s="24"/>
      <c r="J374" s="21"/>
      <c r="K374" s="21"/>
      <c r="L374" s="21"/>
      <c r="M374" s="21"/>
      <c r="N374" s="21"/>
      <c r="O374" s="21"/>
      <c r="P374" s="7"/>
      <c r="Q374" s="7"/>
    </row>
    <row r="375" spans="1:17" ht="15" customHeight="1">
      <c r="A375" s="19" t="s">
        <v>11</v>
      </c>
      <c r="B375" s="20"/>
      <c r="C375" s="18">
        <f>4752.48/1.18</f>
        <v>4027.5254237288136</v>
      </c>
      <c r="D375" s="25"/>
      <c r="E375" s="25"/>
      <c r="F375" s="25"/>
      <c r="H375" s="1"/>
      <c r="I375" s="24"/>
      <c r="J375" s="21"/>
      <c r="K375" s="21"/>
      <c r="L375" s="21"/>
      <c r="M375" s="21"/>
      <c r="N375" s="21"/>
      <c r="O375" s="21"/>
      <c r="P375" s="7"/>
      <c r="Q375" s="7"/>
    </row>
    <row r="376" spans="1:17" ht="15" customHeight="1">
      <c r="A376" s="19" t="s">
        <v>12</v>
      </c>
      <c r="B376" s="20"/>
      <c r="C376" s="18">
        <v>65941.820000000007</v>
      </c>
      <c r="D376" s="25"/>
      <c r="E376" s="25"/>
      <c r="F376" s="25"/>
      <c r="H376" s="1"/>
      <c r="I376" s="24"/>
      <c r="J376" s="21"/>
      <c r="K376" s="21"/>
      <c r="L376" s="21"/>
      <c r="M376" s="21"/>
      <c r="N376" s="21"/>
      <c r="O376" s="21"/>
      <c r="P376" s="7"/>
      <c r="Q376" s="7"/>
    </row>
    <row r="377" spans="1:17" ht="15" customHeight="1">
      <c r="A377" s="83" t="s">
        <v>13</v>
      </c>
      <c r="B377" s="84"/>
      <c r="C377" s="18">
        <f>599360.4</f>
        <v>599360.4</v>
      </c>
      <c r="D377" s="25"/>
      <c r="E377" s="25"/>
      <c r="F377" s="25"/>
      <c r="H377" s="1"/>
      <c r="I377" s="24"/>
      <c r="J377" s="21"/>
      <c r="K377" s="21"/>
      <c r="L377" s="21"/>
      <c r="M377" s="21"/>
      <c r="N377" s="21"/>
      <c r="O377" s="21"/>
      <c r="P377" s="7"/>
      <c r="Q377" s="7"/>
    </row>
    <row r="378" spans="1:17" ht="15" customHeight="1">
      <c r="A378" s="89" t="s">
        <v>14</v>
      </c>
      <c r="B378" s="90"/>
      <c r="C378" s="18">
        <f>672624.48+4301.73+8804.61</f>
        <v>685730.82</v>
      </c>
      <c r="D378" s="25"/>
      <c r="E378" s="25"/>
      <c r="F378" s="25"/>
      <c r="H378" s="1"/>
      <c r="I378" s="24"/>
      <c r="J378" s="21"/>
      <c r="K378" s="21"/>
      <c r="L378" s="21"/>
      <c r="M378" s="21"/>
      <c r="N378" s="21"/>
      <c r="O378" s="21"/>
      <c r="P378" s="7"/>
      <c r="Q378" s="7"/>
    </row>
    <row r="379" spans="1:17" ht="15" customHeight="1">
      <c r="A379" s="41" t="s">
        <v>19</v>
      </c>
      <c r="B379" s="42"/>
      <c r="C379" s="18">
        <f>18245.64</f>
        <v>18245.64</v>
      </c>
      <c r="D379" s="25"/>
      <c r="E379" s="25"/>
      <c r="F379" s="25"/>
      <c r="H379" s="1"/>
      <c r="I379" s="24"/>
      <c r="J379" s="21"/>
      <c r="K379" s="21"/>
      <c r="L379" s="21"/>
      <c r="M379" s="21"/>
      <c r="N379" s="21"/>
      <c r="O379" s="21"/>
      <c r="P379" s="7"/>
      <c r="Q379" s="7"/>
    </row>
    <row r="380" spans="1:17" ht="15" customHeight="1">
      <c r="A380" s="83" t="s">
        <v>45</v>
      </c>
      <c r="B380" s="84"/>
      <c r="C380" s="18">
        <f>141183.55+752433+17526.74</f>
        <v>911143.29</v>
      </c>
      <c r="D380" s="25"/>
      <c r="E380" s="25"/>
      <c r="F380" s="25"/>
      <c r="H380" s="1"/>
      <c r="I380" s="24"/>
      <c r="J380" s="21"/>
      <c r="K380" s="21"/>
      <c r="L380" s="21"/>
      <c r="M380" s="21"/>
      <c r="N380" s="21"/>
      <c r="O380" s="21"/>
      <c r="P380" s="7"/>
      <c r="Q380" s="7"/>
    </row>
    <row r="381" spans="1:17" ht="15" customHeight="1">
      <c r="A381" s="19" t="s">
        <v>16</v>
      </c>
      <c r="B381" s="20"/>
      <c r="C381" s="18">
        <f>9043.31/1.18+244011.67</f>
        <v>251675.49203389831</v>
      </c>
      <c r="D381" s="25"/>
      <c r="E381" s="25"/>
      <c r="F381" s="25"/>
      <c r="H381" s="1"/>
      <c r="I381" s="24"/>
      <c r="J381" s="21"/>
      <c r="K381" s="21"/>
      <c r="L381" s="21"/>
      <c r="M381" s="21"/>
      <c r="N381" s="21"/>
      <c r="O381" s="21"/>
      <c r="P381" s="7"/>
      <c r="Q381" s="7"/>
    </row>
    <row r="382" spans="1:17" ht="15" customHeight="1" thickBot="1">
      <c r="A382" s="85" t="s">
        <v>17</v>
      </c>
      <c r="B382" s="86"/>
      <c r="C382" s="26">
        <v>578953.42000000004</v>
      </c>
      <c r="D382" s="25"/>
      <c r="E382" s="25"/>
      <c r="F382" s="25"/>
      <c r="H382" s="1"/>
      <c r="I382" s="24"/>
      <c r="J382" s="21"/>
      <c r="K382" s="21"/>
      <c r="L382" s="21"/>
      <c r="M382" s="21"/>
      <c r="N382" s="21"/>
      <c r="O382" s="21"/>
      <c r="P382" s="7"/>
      <c r="Q382" s="7"/>
    </row>
    <row r="383" spans="1:17" ht="16.5" thickBot="1">
      <c r="A383" s="87" t="s">
        <v>32</v>
      </c>
      <c r="B383" s="88"/>
      <c r="C383" s="32">
        <f>SUM(C374:C382)</f>
        <v>3415666.7835593219</v>
      </c>
      <c r="D383" s="4"/>
      <c r="E383" s="4"/>
      <c r="F383" s="4"/>
      <c r="G383" s="4"/>
      <c r="H383" s="8"/>
    </row>
    <row r="384" spans="1:17" ht="5.25" customHeight="1" thickBot="1">
      <c r="A384" s="63"/>
      <c r="B384" s="64"/>
      <c r="C384" s="32"/>
      <c r="D384" s="4"/>
      <c r="E384" s="4"/>
      <c r="F384" s="4"/>
      <c r="G384" s="4"/>
      <c r="H384" s="8"/>
    </row>
    <row r="385" spans="1:17" s="16" customFormat="1" ht="16.5" thickBot="1">
      <c r="A385" s="9" t="s">
        <v>41</v>
      </c>
      <c r="B385" s="10"/>
      <c r="C385" s="11"/>
      <c r="D385" s="25"/>
      <c r="E385" s="25"/>
      <c r="F385" s="25"/>
      <c r="G385" s="25"/>
      <c r="H385" s="25"/>
    </row>
    <row r="386" spans="1:17" s="16" customFormat="1">
      <c r="A386" s="12" t="s">
        <v>1</v>
      </c>
      <c r="B386" s="13"/>
      <c r="C386" s="14"/>
      <c r="D386" s="25"/>
      <c r="E386" s="25"/>
      <c r="F386" s="25"/>
      <c r="G386" s="25"/>
      <c r="H386" s="25"/>
    </row>
    <row r="387" spans="1:17" s="16" customFormat="1">
      <c r="A387" s="15" t="s">
        <v>48</v>
      </c>
      <c r="C387" s="17">
        <v>1061226.3700000001</v>
      </c>
      <c r="D387" s="25"/>
      <c r="E387" s="25"/>
      <c r="F387" s="25"/>
      <c r="G387" s="25"/>
      <c r="H387" s="25"/>
    </row>
    <row r="388" spans="1:17" s="16" customFormat="1">
      <c r="A388" s="15" t="s">
        <v>46</v>
      </c>
      <c r="C388" s="17">
        <v>324719.65000000002</v>
      </c>
      <c r="D388" s="25"/>
      <c r="E388" s="25"/>
      <c r="F388" s="25"/>
      <c r="G388" s="25"/>
      <c r="H388" s="25"/>
    </row>
    <row r="389" spans="1:17" s="16" customFormat="1">
      <c r="A389" s="83" t="s">
        <v>2</v>
      </c>
      <c r="B389" s="84"/>
      <c r="C389" s="18">
        <f>980935.47/1.18+774644.07</f>
        <v>1605945.3157627117</v>
      </c>
      <c r="D389" s="25"/>
      <c r="E389" s="25"/>
      <c r="F389" s="25"/>
      <c r="G389" s="25"/>
      <c r="H389" s="2"/>
    </row>
    <row r="390" spans="1:17" s="16" customFormat="1">
      <c r="A390" s="83" t="s">
        <v>3</v>
      </c>
      <c r="B390" s="84"/>
      <c r="C390" s="18">
        <f>312665.46/1.18+246911.82</f>
        <v>511882.54881355935</v>
      </c>
      <c r="D390" s="25"/>
      <c r="E390" s="25"/>
      <c r="F390" s="25"/>
      <c r="G390" s="25"/>
      <c r="H390" s="25"/>
    </row>
    <row r="391" spans="1:17" s="16" customFormat="1">
      <c r="A391" s="19" t="s">
        <v>6</v>
      </c>
      <c r="B391" s="20"/>
      <c r="C391" s="18">
        <v>43937.42</v>
      </c>
      <c r="D391" s="25"/>
      <c r="E391" s="25"/>
      <c r="F391" s="25"/>
      <c r="G391" s="25"/>
      <c r="H391" s="25"/>
    </row>
    <row r="392" spans="1:17" s="16" customFormat="1">
      <c r="A392" s="19" t="s">
        <v>4</v>
      </c>
      <c r="B392" s="20"/>
      <c r="C392" s="18">
        <v>28579.96</v>
      </c>
      <c r="D392" s="25"/>
      <c r="E392" s="25"/>
      <c r="F392" s="25"/>
      <c r="G392" s="25"/>
      <c r="H392" s="25"/>
    </row>
    <row r="393" spans="1:17" s="16" customFormat="1">
      <c r="A393" s="15" t="s">
        <v>7</v>
      </c>
      <c r="B393" s="22"/>
      <c r="C393" s="23">
        <f>SUM(C389:C392)</f>
        <v>2190345.2445762707</v>
      </c>
      <c r="D393" s="25"/>
      <c r="E393" s="25"/>
      <c r="F393" s="25"/>
      <c r="G393" s="25"/>
      <c r="H393" s="25"/>
    </row>
    <row r="394" spans="1:17" s="16" customFormat="1">
      <c r="A394" s="15"/>
      <c r="B394" s="22"/>
      <c r="C394" s="23"/>
      <c r="D394" s="25"/>
      <c r="E394" s="25"/>
      <c r="F394" s="25"/>
      <c r="G394" s="25"/>
      <c r="H394" s="25"/>
    </row>
    <row r="395" spans="1:17" s="16" customFormat="1">
      <c r="A395" s="79" t="s">
        <v>8</v>
      </c>
      <c r="B395" s="80"/>
      <c r="C395" s="14"/>
      <c r="D395" s="25"/>
      <c r="E395" s="25"/>
      <c r="F395" s="25"/>
      <c r="G395" s="25"/>
      <c r="H395" s="25"/>
    </row>
    <row r="396" spans="1:17" ht="15" customHeight="1">
      <c r="A396" s="81" t="s">
        <v>9</v>
      </c>
      <c r="B396" s="82"/>
      <c r="C396" s="18">
        <f>8742.01/1.18+2279.34/1.18+500/1.18+490.35/1.18+29.98+179584.84</f>
        <v>189794.22677966102</v>
      </c>
      <c r="D396" s="25"/>
      <c r="E396" s="25"/>
      <c r="F396" s="25"/>
      <c r="H396" s="1"/>
      <c r="I396" s="24"/>
      <c r="J396" s="21"/>
      <c r="K396" s="21"/>
      <c r="L396" s="21"/>
      <c r="M396" s="21"/>
      <c r="N396" s="21"/>
      <c r="O396" s="21"/>
      <c r="P396" s="7"/>
      <c r="Q396" s="7"/>
    </row>
    <row r="397" spans="1:17" ht="15" customHeight="1">
      <c r="A397" s="19" t="s">
        <v>11</v>
      </c>
      <c r="B397" s="20"/>
      <c r="C397" s="18">
        <f>4893.77/1.18</f>
        <v>4147.2627118644077</v>
      </c>
      <c r="D397" s="25"/>
      <c r="E397" s="25"/>
      <c r="F397" s="25"/>
      <c r="H397" s="1"/>
      <c r="I397" s="24"/>
      <c r="J397" s="21"/>
      <c r="K397" s="21"/>
      <c r="L397" s="21"/>
      <c r="M397" s="21"/>
      <c r="N397" s="21"/>
      <c r="O397" s="21"/>
      <c r="P397" s="7"/>
      <c r="Q397" s="7"/>
    </row>
    <row r="398" spans="1:17" ht="15" customHeight="1">
      <c r="A398" s="19" t="s">
        <v>12</v>
      </c>
      <c r="B398" s="20"/>
      <c r="C398" s="18">
        <v>41195.120000000003</v>
      </c>
      <c r="D398" s="25"/>
      <c r="E398" s="25"/>
      <c r="F398" s="25"/>
      <c r="H398" s="1"/>
      <c r="I398" s="24"/>
      <c r="J398" s="21"/>
      <c r="K398" s="21"/>
      <c r="L398" s="21"/>
      <c r="M398" s="21"/>
      <c r="N398" s="21"/>
      <c r="O398" s="21"/>
      <c r="P398" s="7"/>
      <c r="Q398" s="7"/>
    </row>
    <row r="399" spans="1:17" ht="15" customHeight="1">
      <c r="A399" s="83" t="s">
        <v>13</v>
      </c>
      <c r="B399" s="84"/>
      <c r="C399" s="18">
        <f>490703.34</f>
        <v>490703.34</v>
      </c>
      <c r="D399" s="25"/>
      <c r="E399" s="25"/>
      <c r="F399" s="25"/>
      <c r="H399" s="1"/>
      <c r="I399" s="24"/>
      <c r="J399" s="21"/>
      <c r="K399" s="21"/>
      <c r="L399" s="21"/>
      <c r="M399" s="21"/>
      <c r="N399" s="21"/>
      <c r="O399" s="21"/>
      <c r="P399" s="7"/>
      <c r="Q399" s="7"/>
    </row>
    <row r="400" spans="1:17" ht="15" customHeight="1">
      <c r="A400" s="89" t="s">
        <v>14</v>
      </c>
      <c r="B400" s="90"/>
      <c r="C400" s="18">
        <f>550758+2687.37+5500.41</f>
        <v>558945.78</v>
      </c>
      <c r="D400" s="25"/>
      <c r="E400" s="25"/>
      <c r="F400" s="25"/>
      <c r="H400" s="1"/>
      <c r="I400" s="24"/>
      <c r="J400" s="21"/>
      <c r="K400" s="21"/>
      <c r="L400" s="21"/>
      <c r="M400" s="21"/>
      <c r="N400" s="21"/>
      <c r="O400" s="21"/>
      <c r="P400" s="7"/>
      <c r="Q400" s="7"/>
    </row>
    <row r="401" spans="1:17" ht="15" customHeight="1">
      <c r="A401" s="41" t="s">
        <v>30</v>
      </c>
      <c r="B401" s="42"/>
      <c r="C401" s="18">
        <f>59428.01</f>
        <v>59428.01</v>
      </c>
      <c r="D401" s="25"/>
      <c r="E401" s="25"/>
      <c r="F401" s="25"/>
      <c r="H401" s="1"/>
      <c r="I401" s="24"/>
      <c r="J401" s="21"/>
      <c r="K401" s="21"/>
      <c r="L401" s="21"/>
      <c r="M401" s="21"/>
      <c r="N401" s="21"/>
      <c r="O401" s="21"/>
      <c r="P401" s="7"/>
      <c r="Q401" s="7"/>
    </row>
    <row r="402" spans="1:17" ht="15" customHeight="1">
      <c r="A402" s="41" t="s">
        <v>19</v>
      </c>
      <c r="B402" s="42"/>
      <c r="C402" s="18">
        <f>13831.32</f>
        <v>13831.32</v>
      </c>
      <c r="D402" s="25"/>
      <c r="E402" s="25"/>
      <c r="F402" s="25"/>
      <c r="H402" s="1"/>
      <c r="I402" s="24"/>
      <c r="J402" s="21"/>
      <c r="K402" s="21"/>
      <c r="L402" s="21"/>
      <c r="M402" s="21"/>
      <c r="N402" s="21"/>
      <c r="O402" s="21"/>
      <c r="P402" s="7"/>
      <c r="Q402" s="7"/>
    </row>
    <row r="403" spans="1:17" ht="15" customHeight="1">
      <c r="A403" s="83" t="s">
        <v>45</v>
      </c>
      <c r="B403" s="84"/>
      <c r="C403" s="18">
        <f>115403.48+1608+10949.29</f>
        <v>127960.76999999999</v>
      </c>
      <c r="D403" s="25"/>
      <c r="E403" s="25"/>
      <c r="F403" s="25"/>
      <c r="H403" s="1"/>
      <c r="I403" s="24"/>
      <c r="J403" s="21"/>
      <c r="K403" s="21"/>
      <c r="L403" s="21"/>
      <c r="M403" s="21"/>
      <c r="N403" s="21"/>
      <c r="O403" s="21"/>
      <c r="P403" s="7"/>
      <c r="Q403" s="7"/>
    </row>
    <row r="404" spans="1:17" ht="15" customHeight="1">
      <c r="A404" s="19" t="s">
        <v>16</v>
      </c>
      <c r="B404" s="20"/>
      <c r="C404" s="18">
        <f>9310.53/1.18+152438.76</f>
        <v>160329.03966101696</v>
      </c>
      <c r="D404" s="25"/>
      <c r="E404" s="25"/>
      <c r="F404" s="25"/>
      <c r="H404" s="1"/>
      <c r="I404" s="24"/>
      <c r="J404" s="21"/>
      <c r="K404" s="21"/>
      <c r="L404" s="21"/>
      <c r="M404" s="21"/>
      <c r="N404" s="21"/>
      <c r="O404" s="21"/>
      <c r="P404" s="7"/>
      <c r="Q404" s="7"/>
    </row>
    <row r="405" spans="1:17" ht="15" customHeight="1" thickBot="1">
      <c r="A405" s="85" t="s">
        <v>17</v>
      </c>
      <c r="B405" s="86"/>
      <c r="C405" s="26">
        <v>361683.29</v>
      </c>
      <c r="D405" s="25"/>
      <c r="E405" s="25"/>
      <c r="F405" s="25"/>
      <c r="H405" s="1"/>
      <c r="I405" s="24"/>
      <c r="J405" s="21"/>
      <c r="K405" s="21"/>
      <c r="L405" s="21"/>
      <c r="M405" s="21"/>
      <c r="N405" s="21"/>
      <c r="O405" s="21"/>
      <c r="P405" s="7"/>
      <c r="Q405" s="7"/>
    </row>
    <row r="406" spans="1:17" ht="15" customHeight="1" thickBot="1">
      <c r="A406" s="91" t="s">
        <v>7</v>
      </c>
      <c r="B406" s="92"/>
      <c r="C406" s="32">
        <f>SUM(C396:C405)</f>
        <v>2008018.1591525425</v>
      </c>
      <c r="D406" s="25"/>
      <c r="E406" s="25"/>
      <c r="F406" s="25"/>
      <c r="H406" s="1"/>
      <c r="I406" s="24"/>
      <c r="J406" s="21"/>
      <c r="K406" s="21"/>
      <c r="L406" s="21"/>
      <c r="M406" s="21"/>
      <c r="N406" s="21"/>
      <c r="O406" s="21"/>
      <c r="P406" s="7"/>
      <c r="Q406" s="7"/>
    </row>
    <row r="407" spans="1:17" ht="6.75" customHeight="1" thickBot="1">
      <c r="A407" s="67"/>
      <c r="B407" s="68"/>
      <c r="C407" s="32"/>
      <c r="D407" s="25"/>
      <c r="E407" s="25"/>
      <c r="F407" s="25"/>
      <c r="H407" s="1"/>
      <c r="I407" s="24"/>
      <c r="J407" s="21"/>
      <c r="K407" s="21"/>
      <c r="L407" s="21"/>
      <c r="M407" s="21"/>
      <c r="N407" s="21"/>
      <c r="O407" s="21"/>
      <c r="P407" s="7"/>
      <c r="Q407" s="7"/>
    </row>
    <row r="408" spans="1:17" s="16" customFormat="1" ht="16.5" thickBot="1">
      <c r="A408" s="9" t="s">
        <v>42</v>
      </c>
      <c r="B408" s="10"/>
      <c r="C408" s="11"/>
      <c r="D408" s="25"/>
      <c r="E408" s="25"/>
      <c r="F408" s="25"/>
      <c r="G408" s="25"/>
      <c r="H408" s="25"/>
    </row>
    <row r="409" spans="1:17" s="16" customFormat="1">
      <c r="A409" s="12" t="s">
        <v>1</v>
      </c>
      <c r="B409" s="13"/>
      <c r="C409" s="14"/>
      <c r="D409" s="25"/>
      <c r="E409" s="25"/>
      <c r="F409" s="25"/>
      <c r="G409" s="25"/>
      <c r="H409" s="25"/>
    </row>
    <row r="410" spans="1:17" s="16" customFormat="1">
      <c r="A410" s="15" t="s">
        <v>48</v>
      </c>
      <c r="C410" s="17">
        <v>1478678.37</v>
      </c>
      <c r="D410" s="25"/>
      <c r="E410" s="25"/>
      <c r="F410" s="25"/>
      <c r="G410" s="25"/>
      <c r="H410" s="25"/>
    </row>
    <row r="411" spans="1:17" s="16" customFormat="1">
      <c r="A411" s="15" t="s">
        <v>46</v>
      </c>
      <c r="C411" s="17">
        <v>482645.36</v>
      </c>
      <c r="D411" s="25"/>
      <c r="E411" s="25"/>
      <c r="F411" s="25"/>
      <c r="G411" s="25"/>
      <c r="H411" s="25"/>
    </row>
    <row r="412" spans="1:17" s="16" customFormat="1">
      <c r="A412" s="83" t="s">
        <v>2</v>
      </c>
      <c r="B412" s="84"/>
      <c r="C412" s="18">
        <f>1346590.56/1.18+1063401.48</f>
        <v>2204579.9206779664</v>
      </c>
      <c r="D412" s="25"/>
      <c r="E412" s="25"/>
      <c r="F412" s="25"/>
      <c r="G412" s="25"/>
      <c r="H412" s="2"/>
    </row>
    <row r="413" spans="1:17" s="16" customFormat="1">
      <c r="A413" s="83" t="s">
        <v>3</v>
      </c>
      <c r="B413" s="84"/>
      <c r="C413" s="18">
        <f>209848.26/1.18+165717</f>
        <v>343554.50847457629</v>
      </c>
      <c r="D413" s="25"/>
      <c r="E413" s="25"/>
      <c r="F413" s="25"/>
      <c r="G413" s="25"/>
      <c r="H413" s="25"/>
    </row>
    <row r="414" spans="1:17" s="16" customFormat="1">
      <c r="A414" s="19" t="s">
        <v>6</v>
      </c>
      <c r="B414" s="20"/>
      <c r="C414" s="18">
        <v>60654.35</v>
      </c>
      <c r="D414" s="25"/>
      <c r="E414" s="25"/>
      <c r="F414" s="25"/>
      <c r="G414" s="25"/>
      <c r="H414" s="25"/>
    </row>
    <row r="415" spans="1:17" s="16" customFormat="1">
      <c r="A415" s="19" t="s">
        <v>4</v>
      </c>
      <c r="B415" s="20"/>
      <c r="C415" s="18">
        <f>23298.31</f>
        <v>23298.31</v>
      </c>
      <c r="D415" s="25"/>
      <c r="E415" s="25"/>
      <c r="F415" s="25"/>
      <c r="G415" s="25"/>
      <c r="H415" s="25"/>
    </row>
    <row r="416" spans="1:17" s="16" customFormat="1">
      <c r="A416" s="15" t="s">
        <v>7</v>
      </c>
      <c r="B416" s="22"/>
      <c r="C416" s="23">
        <f>SUM(C412:C415)</f>
        <v>2632087.0891525429</v>
      </c>
      <c r="D416" s="25"/>
      <c r="E416" s="25"/>
      <c r="F416" s="25"/>
      <c r="G416" s="25"/>
      <c r="H416" s="25"/>
    </row>
    <row r="417" spans="1:17" s="16" customFormat="1">
      <c r="A417" s="15"/>
      <c r="B417" s="22"/>
      <c r="C417" s="23"/>
      <c r="D417" s="25"/>
      <c r="E417" s="25"/>
      <c r="F417" s="25"/>
      <c r="G417" s="25"/>
      <c r="H417" s="25"/>
    </row>
    <row r="418" spans="1:17" s="16" customFormat="1">
      <c r="A418" s="79" t="s">
        <v>8</v>
      </c>
      <c r="B418" s="80"/>
      <c r="C418" s="14"/>
      <c r="D418" s="25"/>
      <c r="E418" s="25"/>
      <c r="F418" s="25"/>
      <c r="G418" s="25"/>
      <c r="H418" s="25"/>
    </row>
    <row r="419" spans="1:17" ht="15" customHeight="1">
      <c r="A419" s="81" t="s">
        <v>9</v>
      </c>
      <c r="B419" s="82"/>
      <c r="C419" s="18">
        <f>9429.3/1.18+500/1.18+490.35/1.18+29.98+2496.01/1.18+247911.74</f>
        <v>258887.19457627117</v>
      </c>
      <c r="D419" s="25"/>
      <c r="E419" s="25"/>
      <c r="F419" s="25"/>
      <c r="H419" s="1"/>
      <c r="I419" s="24"/>
      <c r="J419" s="21"/>
      <c r="K419" s="21"/>
      <c r="L419" s="21"/>
      <c r="M419" s="21"/>
      <c r="N419" s="21"/>
      <c r="O419" s="21"/>
      <c r="P419" s="7"/>
      <c r="Q419" s="7"/>
    </row>
    <row r="420" spans="1:17" ht="15" customHeight="1">
      <c r="A420" s="19" t="s">
        <v>22</v>
      </c>
      <c r="B420" s="20"/>
      <c r="C420" s="18">
        <f>16182.1/1.18</f>
        <v>13713.644067796611</v>
      </c>
      <c r="D420" s="25"/>
      <c r="E420" s="25"/>
      <c r="F420" s="25"/>
      <c r="H420" s="1"/>
      <c r="I420" s="24"/>
      <c r="J420" s="21"/>
      <c r="K420" s="21"/>
      <c r="L420" s="21"/>
      <c r="M420" s="21"/>
      <c r="N420" s="21"/>
      <c r="O420" s="21"/>
      <c r="P420" s="7"/>
      <c r="Q420" s="7"/>
    </row>
    <row r="421" spans="1:17" ht="15" customHeight="1">
      <c r="A421" s="19" t="s">
        <v>11</v>
      </c>
      <c r="B421" s="20"/>
      <c r="C421" s="18">
        <f>4356.44/1.18</f>
        <v>3691.8983050847455</v>
      </c>
      <c r="D421" s="25"/>
      <c r="E421" s="25"/>
      <c r="F421" s="25"/>
      <c r="H421" s="1"/>
      <c r="I421" s="24"/>
      <c r="J421" s="21"/>
      <c r="K421" s="21"/>
      <c r="L421" s="21"/>
      <c r="M421" s="21"/>
      <c r="N421" s="21"/>
      <c r="O421" s="21"/>
      <c r="P421" s="7"/>
      <c r="Q421" s="7"/>
    </row>
    <row r="422" spans="1:17" ht="15" customHeight="1">
      <c r="A422" s="19" t="s">
        <v>12</v>
      </c>
      <c r="B422" s="20"/>
      <c r="C422" s="18">
        <v>56868.68</v>
      </c>
      <c r="D422" s="25"/>
      <c r="E422" s="25"/>
      <c r="F422" s="25"/>
      <c r="H422" s="1"/>
      <c r="I422" s="24"/>
      <c r="J422" s="21"/>
      <c r="K422" s="21"/>
      <c r="L422" s="21"/>
      <c r="M422" s="21"/>
      <c r="N422" s="21"/>
      <c r="O422" s="21"/>
      <c r="P422" s="7"/>
      <c r="Q422" s="7"/>
    </row>
    <row r="423" spans="1:17" ht="15" customHeight="1">
      <c r="A423" s="83" t="s">
        <v>13</v>
      </c>
      <c r="B423" s="84"/>
      <c r="C423" s="18">
        <v>580612.5</v>
      </c>
      <c r="D423" s="25"/>
      <c r="E423" s="25"/>
      <c r="F423" s="25"/>
      <c r="H423" s="1"/>
      <c r="I423" s="24"/>
      <c r="J423" s="21"/>
      <c r="K423" s="21"/>
      <c r="L423" s="21"/>
      <c r="M423" s="21"/>
      <c r="N423" s="21"/>
      <c r="O423" s="21"/>
      <c r="P423" s="7"/>
      <c r="Q423" s="7"/>
    </row>
    <row r="424" spans="1:17" ht="15" customHeight="1">
      <c r="A424" s="89" t="s">
        <v>14</v>
      </c>
      <c r="B424" s="90"/>
      <c r="C424" s="18">
        <f>654391.8+3709.84+7593.15</f>
        <v>665694.79</v>
      </c>
      <c r="D424" s="25"/>
      <c r="E424" s="25"/>
      <c r="F424" s="25"/>
      <c r="H424" s="1"/>
      <c r="I424" s="24"/>
      <c r="J424" s="21"/>
      <c r="K424" s="21"/>
      <c r="L424" s="21"/>
      <c r="M424" s="21"/>
      <c r="N424" s="21"/>
      <c r="O424" s="21"/>
      <c r="P424" s="7"/>
      <c r="Q424" s="7"/>
    </row>
    <row r="425" spans="1:17" ht="15" customHeight="1">
      <c r="A425" s="41" t="s">
        <v>19</v>
      </c>
      <c r="B425" s="42"/>
      <c r="C425" s="18">
        <f>17718.24</f>
        <v>17718.240000000002</v>
      </c>
      <c r="D425" s="25"/>
      <c r="E425" s="25"/>
      <c r="F425" s="25"/>
      <c r="H425" s="1"/>
      <c r="I425" s="24"/>
      <c r="J425" s="21"/>
      <c r="K425" s="21"/>
      <c r="L425" s="21"/>
      <c r="M425" s="21"/>
      <c r="N425" s="21"/>
      <c r="O425" s="21"/>
      <c r="P425" s="7"/>
      <c r="Q425" s="7"/>
    </row>
    <row r="426" spans="1:17" ht="15" customHeight="1">
      <c r="A426" s="83" t="s">
        <v>45</v>
      </c>
      <c r="B426" s="84"/>
      <c r="C426" s="18">
        <f>136300.48+534544+15115.18</f>
        <v>685959.66</v>
      </c>
      <c r="D426" s="25"/>
      <c r="E426" s="25"/>
      <c r="F426" s="25"/>
      <c r="H426" s="1"/>
      <c r="I426" s="24"/>
      <c r="J426" s="21"/>
      <c r="K426" s="21"/>
      <c r="L426" s="21"/>
      <c r="M426" s="21"/>
      <c r="N426" s="21"/>
      <c r="O426" s="21"/>
      <c r="P426" s="7"/>
      <c r="Q426" s="7"/>
    </row>
    <row r="427" spans="1:17" ht="15" customHeight="1">
      <c r="A427" s="19" t="s">
        <v>16</v>
      </c>
      <c r="B427" s="20"/>
      <c r="C427" s="18">
        <f>7432.5/1.18+210437.35</f>
        <v>216736.07881355932</v>
      </c>
      <c r="D427" s="25"/>
      <c r="E427" s="25"/>
      <c r="F427" s="25"/>
      <c r="H427" s="1"/>
      <c r="I427" s="24"/>
      <c r="J427" s="21"/>
      <c r="K427" s="21"/>
      <c r="L427" s="21"/>
      <c r="M427" s="21"/>
      <c r="N427" s="21"/>
      <c r="O427" s="21"/>
      <c r="P427" s="7"/>
      <c r="Q427" s="7"/>
    </row>
    <row r="428" spans="1:17" ht="15" customHeight="1" thickBot="1">
      <c r="A428" s="85" t="s">
        <v>17</v>
      </c>
      <c r="B428" s="86"/>
      <c r="C428" s="26">
        <v>499293.43</v>
      </c>
      <c r="D428" s="25"/>
      <c r="E428" s="25"/>
      <c r="F428" s="25"/>
      <c r="H428" s="1"/>
      <c r="I428" s="24"/>
      <c r="J428" s="21"/>
      <c r="K428" s="21"/>
      <c r="L428" s="21"/>
      <c r="M428" s="21"/>
      <c r="N428" s="21"/>
      <c r="O428" s="21"/>
      <c r="P428" s="7"/>
      <c r="Q428" s="7"/>
    </row>
    <row r="429" spans="1:17" ht="16.5" thickBot="1">
      <c r="A429" s="87" t="s">
        <v>7</v>
      </c>
      <c r="B429" s="88"/>
      <c r="C429" s="32">
        <f>SUM(C419:C428)</f>
        <v>2999176.115762712</v>
      </c>
      <c r="D429" s="4"/>
      <c r="E429" s="4"/>
      <c r="F429" s="4"/>
      <c r="G429" s="4"/>
      <c r="H429" s="8"/>
    </row>
    <row r="430" spans="1:17" ht="6" customHeight="1" thickBot="1">
      <c r="A430" s="63"/>
      <c r="B430" s="64"/>
      <c r="C430" s="32"/>
      <c r="D430" s="4"/>
      <c r="E430" s="4"/>
      <c r="F430" s="4"/>
      <c r="G430" s="4"/>
      <c r="H430" s="8"/>
    </row>
    <row r="431" spans="1:17" s="16" customFormat="1" ht="16.5" thickBot="1">
      <c r="A431" s="9" t="s">
        <v>43</v>
      </c>
      <c r="B431" s="10"/>
      <c r="C431" s="11"/>
      <c r="D431" s="25"/>
      <c r="E431" s="25"/>
      <c r="F431" s="25"/>
      <c r="G431" s="25"/>
      <c r="H431" s="25"/>
    </row>
    <row r="432" spans="1:17" s="16" customFormat="1">
      <c r="A432" s="12" t="s">
        <v>1</v>
      </c>
      <c r="B432" s="13"/>
      <c r="C432" s="14"/>
      <c r="D432" s="25"/>
      <c r="E432" s="25"/>
      <c r="F432" s="25"/>
      <c r="G432" s="25"/>
      <c r="H432" s="25"/>
    </row>
    <row r="433" spans="1:17" s="16" customFormat="1">
      <c r="A433" s="15" t="s">
        <v>48</v>
      </c>
      <c r="C433" s="17">
        <v>1017392.55</v>
      </c>
      <c r="D433" s="25"/>
      <c r="E433" s="25"/>
      <c r="F433" s="25"/>
      <c r="G433" s="25"/>
      <c r="H433" s="25"/>
    </row>
    <row r="434" spans="1:17" s="16" customFormat="1">
      <c r="A434" s="15" t="s">
        <v>46</v>
      </c>
      <c r="C434" s="17">
        <v>305185.7</v>
      </c>
      <c r="D434" s="25"/>
      <c r="E434" s="25"/>
      <c r="F434" s="25"/>
      <c r="G434" s="25"/>
      <c r="H434" s="25"/>
    </row>
    <row r="435" spans="1:17" s="16" customFormat="1">
      <c r="A435" s="83" t="s">
        <v>2</v>
      </c>
      <c r="B435" s="84"/>
      <c r="C435" s="18">
        <f>879944.94/1.18+694891.74</f>
        <v>1440607.7908474575</v>
      </c>
      <c r="D435" s="25"/>
      <c r="E435" s="25"/>
      <c r="F435" s="25"/>
      <c r="G435" s="25"/>
      <c r="H435" s="2"/>
    </row>
    <row r="436" spans="1:17" s="16" customFormat="1">
      <c r="A436" s="83" t="s">
        <v>3</v>
      </c>
      <c r="B436" s="84"/>
      <c r="C436" s="18">
        <f>60358.68/1.18+47665.2</f>
        <v>98816.62372881356</v>
      </c>
      <c r="D436" s="25"/>
      <c r="E436" s="25"/>
      <c r="F436" s="25"/>
      <c r="G436" s="25"/>
      <c r="H436" s="25"/>
    </row>
    <row r="437" spans="1:17" s="16" customFormat="1">
      <c r="A437" s="19" t="s">
        <v>4</v>
      </c>
      <c r="B437" s="20"/>
      <c r="C437" s="18">
        <f>39302.54</f>
        <v>39302.54</v>
      </c>
      <c r="D437" s="25"/>
      <c r="E437" s="25"/>
      <c r="F437" s="25"/>
      <c r="G437" s="25"/>
      <c r="H437" s="25"/>
    </row>
    <row r="438" spans="1:17" s="16" customFormat="1">
      <c r="A438" s="19" t="s">
        <v>6</v>
      </c>
      <c r="B438" s="20"/>
      <c r="C438" s="18">
        <v>39884.61</v>
      </c>
      <c r="D438" s="25"/>
      <c r="E438" s="25"/>
      <c r="F438" s="25"/>
      <c r="G438" s="25"/>
      <c r="H438" s="25"/>
    </row>
    <row r="439" spans="1:17" s="16" customFormat="1">
      <c r="A439" s="15" t="s">
        <v>7</v>
      </c>
      <c r="B439" s="22"/>
      <c r="C439" s="23">
        <f>SUM(C435:C438)</f>
        <v>1618611.5645762712</v>
      </c>
      <c r="D439" s="25"/>
      <c r="E439" s="25"/>
      <c r="F439" s="25"/>
      <c r="G439" s="25"/>
      <c r="H439" s="25"/>
    </row>
    <row r="440" spans="1:17" s="16" customFormat="1">
      <c r="A440" s="15"/>
      <c r="B440" s="22"/>
      <c r="C440" s="23"/>
      <c r="D440" s="25"/>
      <c r="E440" s="25"/>
      <c r="F440" s="25"/>
      <c r="G440" s="25"/>
      <c r="H440" s="25"/>
    </row>
    <row r="441" spans="1:17" s="16" customFormat="1">
      <c r="A441" s="79" t="s">
        <v>8</v>
      </c>
      <c r="B441" s="80"/>
      <c r="C441" s="14"/>
      <c r="D441" s="25"/>
      <c r="E441" s="25"/>
      <c r="F441" s="25"/>
      <c r="G441" s="25"/>
      <c r="H441" s="25"/>
    </row>
    <row r="442" spans="1:17" ht="15" customHeight="1">
      <c r="A442" s="81" t="s">
        <v>9</v>
      </c>
      <c r="B442" s="82"/>
      <c r="C442" s="18">
        <f>13196.62/1.18+2264.23/1.18+490.35/1.18+29.98+163019.83</f>
        <v>176567.77610169491</v>
      </c>
      <c r="D442" s="25"/>
      <c r="E442" s="25"/>
      <c r="F442" s="25"/>
      <c r="H442" s="1"/>
      <c r="I442" s="24"/>
      <c r="J442" s="21"/>
      <c r="K442" s="21"/>
      <c r="L442" s="21"/>
      <c r="M442" s="21"/>
      <c r="N442" s="21"/>
      <c r="O442" s="21"/>
      <c r="P442" s="7"/>
      <c r="Q442" s="7"/>
    </row>
    <row r="443" spans="1:17" ht="15" customHeight="1">
      <c r="A443" s="61" t="s">
        <v>10</v>
      </c>
      <c r="B443" s="62"/>
      <c r="C443" s="18">
        <v>59704</v>
      </c>
      <c r="D443" s="25"/>
      <c r="E443" s="25"/>
      <c r="F443" s="25"/>
      <c r="H443" s="1"/>
      <c r="I443" s="24"/>
      <c r="J443" s="21"/>
      <c r="K443" s="21"/>
      <c r="L443" s="21"/>
      <c r="M443" s="21"/>
      <c r="N443" s="21"/>
      <c r="O443" s="21"/>
      <c r="P443" s="7"/>
      <c r="Q443" s="7"/>
    </row>
    <row r="444" spans="1:17" ht="15" customHeight="1">
      <c r="A444" s="19" t="s">
        <v>22</v>
      </c>
      <c r="B444" s="20"/>
      <c r="C444" s="18">
        <f>1503.9/1.18</f>
        <v>1274.4915254237289</v>
      </c>
      <c r="D444" s="25"/>
      <c r="E444" s="25"/>
      <c r="F444" s="25"/>
      <c r="H444" s="1"/>
      <c r="I444" s="24"/>
      <c r="J444" s="21"/>
      <c r="K444" s="21"/>
      <c r="L444" s="21"/>
      <c r="M444" s="21"/>
      <c r="N444" s="21"/>
      <c r="O444" s="21"/>
      <c r="P444" s="7"/>
      <c r="Q444" s="7"/>
    </row>
    <row r="445" spans="1:17" ht="15" customHeight="1">
      <c r="A445" s="19" t="s">
        <v>11</v>
      </c>
      <c r="B445" s="20"/>
      <c r="C445" s="18">
        <f>4356.44/1.18</f>
        <v>3691.8983050847455</v>
      </c>
      <c r="D445" s="25"/>
      <c r="E445" s="25"/>
      <c r="F445" s="25"/>
      <c r="H445" s="1"/>
      <c r="I445" s="24"/>
      <c r="J445" s="21"/>
      <c r="K445" s="21"/>
      <c r="L445" s="21"/>
      <c r="M445" s="21"/>
      <c r="N445" s="21"/>
      <c r="O445" s="21"/>
      <c r="P445" s="7"/>
      <c r="Q445" s="7"/>
    </row>
    <row r="446" spans="1:17" ht="15" customHeight="1">
      <c r="A446" s="19" t="s">
        <v>12</v>
      </c>
      <c r="B446" s="20"/>
      <c r="C446" s="18">
        <v>37395.26</v>
      </c>
      <c r="D446" s="25"/>
      <c r="E446" s="25"/>
      <c r="F446" s="25"/>
      <c r="H446" s="1"/>
      <c r="I446" s="24"/>
      <c r="J446" s="21"/>
      <c r="K446" s="21"/>
      <c r="L446" s="21"/>
      <c r="M446" s="21"/>
      <c r="N446" s="21"/>
      <c r="O446" s="21"/>
      <c r="P446" s="7"/>
      <c r="Q446" s="7"/>
    </row>
    <row r="447" spans="1:17" ht="15" customHeight="1">
      <c r="A447" s="83" t="s">
        <v>13</v>
      </c>
      <c r="B447" s="84"/>
      <c r="C447" s="18">
        <f>350753.22</f>
        <v>350753.22</v>
      </c>
      <c r="D447" s="25"/>
      <c r="E447" s="25"/>
      <c r="F447" s="25"/>
      <c r="H447" s="1"/>
      <c r="I447" s="24"/>
      <c r="J447" s="21"/>
      <c r="K447" s="21"/>
      <c r="L447" s="21"/>
      <c r="M447" s="21"/>
      <c r="N447" s="21"/>
      <c r="O447" s="21"/>
      <c r="P447" s="7"/>
      <c r="Q447" s="7"/>
    </row>
    <row r="448" spans="1:17" ht="15" customHeight="1">
      <c r="A448" s="41" t="s">
        <v>30</v>
      </c>
      <c r="B448" s="42"/>
      <c r="C448" s="18">
        <f>394578.11+2439.49+4993.04</f>
        <v>402010.63999999996</v>
      </c>
      <c r="D448" s="25"/>
      <c r="E448" s="25"/>
      <c r="F448" s="25"/>
      <c r="H448" s="1"/>
      <c r="I448" s="24"/>
      <c r="J448" s="21"/>
      <c r="K448" s="21"/>
      <c r="L448" s="21"/>
      <c r="M448" s="21"/>
      <c r="N448" s="21"/>
      <c r="O448" s="21"/>
      <c r="P448" s="7"/>
      <c r="Q448" s="7"/>
    </row>
    <row r="449" spans="1:17" ht="15" customHeight="1">
      <c r="A449" s="41" t="s">
        <v>19</v>
      </c>
      <c r="B449" s="42"/>
      <c r="C449" s="18">
        <v>10703.52</v>
      </c>
      <c r="D449" s="25"/>
      <c r="E449" s="25"/>
      <c r="F449" s="25"/>
      <c r="H449" s="1"/>
      <c r="I449" s="24"/>
      <c r="J449" s="21"/>
      <c r="K449" s="21"/>
      <c r="L449" s="21"/>
      <c r="M449" s="21"/>
      <c r="N449" s="21"/>
      <c r="O449" s="21"/>
      <c r="P449" s="7"/>
      <c r="Q449" s="7"/>
    </row>
    <row r="450" spans="1:17" ht="15" customHeight="1">
      <c r="A450" s="83" t="s">
        <v>45</v>
      </c>
      <c r="B450" s="84"/>
      <c r="C450" s="18">
        <f>82695.4+354089+9939.32</f>
        <v>446723.72000000003</v>
      </c>
      <c r="D450" s="25"/>
      <c r="E450" s="25"/>
      <c r="F450" s="25"/>
      <c r="H450" s="1"/>
      <c r="I450" s="24"/>
      <c r="J450" s="21"/>
      <c r="K450" s="21"/>
      <c r="L450" s="21"/>
      <c r="M450" s="21"/>
      <c r="N450" s="21"/>
      <c r="O450" s="21"/>
      <c r="P450" s="7"/>
      <c r="Q450" s="7"/>
    </row>
    <row r="451" spans="1:17" ht="15" customHeight="1">
      <c r="A451" s="19" t="s">
        <v>16</v>
      </c>
      <c r="B451" s="20"/>
      <c r="C451" s="18">
        <f>6775.11/1.18+138377.72</f>
        <v>144119.33864406779</v>
      </c>
      <c r="D451" s="25"/>
      <c r="E451" s="25"/>
      <c r="F451" s="25"/>
      <c r="H451" s="1"/>
      <c r="I451" s="24"/>
      <c r="J451" s="21"/>
      <c r="K451" s="21"/>
      <c r="L451" s="21"/>
      <c r="M451" s="21"/>
      <c r="N451" s="21"/>
      <c r="O451" s="21"/>
      <c r="P451" s="7"/>
      <c r="Q451" s="7"/>
    </row>
    <row r="452" spans="1:17" ht="15" customHeight="1" thickBot="1">
      <c r="A452" s="85" t="s">
        <v>17</v>
      </c>
      <c r="B452" s="86"/>
      <c r="C452" s="26">
        <v>328321.40999999997</v>
      </c>
      <c r="D452" s="25"/>
      <c r="E452" s="25"/>
      <c r="F452" s="25"/>
      <c r="H452" s="1"/>
      <c r="I452" s="24"/>
      <c r="J452" s="21"/>
      <c r="K452" s="21"/>
      <c r="L452" s="21"/>
      <c r="M452" s="21"/>
      <c r="N452" s="21"/>
      <c r="O452" s="21"/>
      <c r="P452" s="7"/>
      <c r="Q452" s="7"/>
    </row>
    <row r="453" spans="1:17" ht="16.5" thickBot="1">
      <c r="A453" s="87" t="s">
        <v>7</v>
      </c>
      <c r="B453" s="88"/>
      <c r="C453" s="32">
        <f>SUM(C442:C452)</f>
        <v>1961265.274576271</v>
      </c>
      <c r="D453" s="4"/>
      <c r="E453" s="4"/>
      <c r="F453" s="4"/>
      <c r="G453" s="4"/>
      <c r="H453" s="8"/>
    </row>
    <row r="454" spans="1:17" s="16" customFormat="1">
      <c r="C454" s="25"/>
      <c r="D454" s="25"/>
      <c r="E454" s="25"/>
      <c r="F454" s="25"/>
      <c r="G454" s="25"/>
      <c r="H454" s="25"/>
    </row>
    <row r="455" spans="1:17" s="16" customFormat="1">
      <c r="C455" s="25"/>
      <c r="D455" s="25"/>
      <c r="E455" s="25"/>
      <c r="F455" s="25"/>
      <c r="G455" s="25"/>
      <c r="H455" s="25"/>
    </row>
    <row r="456" spans="1:17" s="16" customFormat="1">
      <c r="A456" s="78"/>
      <c r="B456" s="78"/>
      <c r="C456" s="43"/>
      <c r="D456" s="25"/>
      <c r="E456" s="25"/>
      <c r="F456" s="25"/>
      <c r="G456" s="25"/>
      <c r="H456" s="25"/>
    </row>
    <row r="457" spans="1:17">
      <c r="A457" s="78"/>
      <c r="B457" s="78"/>
      <c r="C457" s="43"/>
    </row>
  </sheetData>
  <mergeCells count="195">
    <mergeCell ref="A6:B6"/>
    <mergeCell ref="A7:B7"/>
    <mergeCell ref="A13:B13"/>
    <mergeCell ref="A14:B14"/>
    <mergeCell ref="A15:B15"/>
    <mergeCell ref="A35:B35"/>
    <mergeCell ref="A36:B36"/>
    <mergeCell ref="A40:B40"/>
    <mergeCell ref="A42:B42"/>
    <mergeCell ref="A43:B43"/>
    <mergeCell ref="A19:B19"/>
    <mergeCell ref="A20:B20"/>
    <mergeCell ref="A22:B22"/>
    <mergeCell ref="A23:B23"/>
    <mergeCell ref="A29:B29"/>
    <mergeCell ref="A61:B61"/>
    <mergeCell ref="A63:B63"/>
    <mergeCell ref="A64:B64"/>
    <mergeCell ref="A65:B65"/>
    <mergeCell ref="A67:B67"/>
    <mergeCell ref="A69:B69"/>
    <mergeCell ref="A44:B44"/>
    <mergeCell ref="A46:B46"/>
    <mergeCell ref="A52:B52"/>
    <mergeCell ref="A53:B53"/>
    <mergeCell ref="A58:B58"/>
    <mergeCell ref="A59:B59"/>
    <mergeCell ref="A88:B88"/>
    <mergeCell ref="A89:B89"/>
    <mergeCell ref="A91:B91"/>
    <mergeCell ref="A97:B97"/>
    <mergeCell ref="A102:B102"/>
    <mergeCell ref="A75:B75"/>
    <mergeCell ref="A76:B76"/>
    <mergeCell ref="A81:B81"/>
    <mergeCell ref="A82:B82"/>
    <mergeCell ref="A85:B85"/>
    <mergeCell ref="A87:B87"/>
    <mergeCell ref="A112:B112"/>
    <mergeCell ref="A118:B118"/>
    <mergeCell ref="A123:B123"/>
    <mergeCell ref="A124:B124"/>
    <mergeCell ref="A128:B128"/>
    <mergeCell ref="A129:B129"/>
    <mergeCell ref="A103:B103"/>
    <mergeCell ref="A105:B105"/>
    <mergeCell ref="A107:B107"/>
    <mergeCell ref="A108:B108"/>
    <mergeCell ref="A109:B109"/>
    <mergeCell ref="A110:B110"/>
    <mergeCell ref="A147:B147"/>
    <mergeCell ref="A150:B150"/>
    <mergeCell ref="A152:B152"/>
    <mergeCell ref="A153:B153"/>
    <mergeCell ref="A154:B154"/>
    <mergeCell ref="A156:B156"/>
    <mergeCell ref="A130:B130"/>
    <mergeCell ref="A131:B131"/>
    <mergeCell ref="A133:B133"/>
    <mergeCell ref="A139:B139"/>
    <mergeCell ref="A140:B140"/>
    <mergeCell ref="A146:B146"/>
    <mergeCell ref="A174:B174"/>
    <mergeCell ref="A175:B175"/>
    <mergeCell ref="A176:B176"/>
    <mergeCell ref="A178:B178"/>
    <mergeCell ref="A179:B179"/>
    <mergeCell ref="A185:B185"/>
    <mergeCell ref="A157:B157"/>
    <mergeCell ref="A163:B163"/>
    <mergeCell ref="A164:B164"/>
    <mergeCell ref="A165:B165"/>
    <mergeCell ref="A169:B169"/>
    <mergeCell ref="A170:B170"/>
    <mergeCell ref="A201:B201"/>
    <mergeCell ref="A202:B202"/>
    <mergeCell ref="A208:B208"/>
    <mergeCell ref="A212:B212"/>
    <mergeCell ref="A213:B213"/>
    <mergeCell ref="A216:B216"/>
    <mergeCell ref="A189:B189"/>
    <mergeCell ref="A190:B190"/>
    <mergeCell ref="A194:B194"/>
    <mergeCell ref="A197:B197"/>
    <mergeCell ref="A198:B198"/>
    <mergeCell ref="A199:B199"/>
    <mergeCell ref="A233:B233"/>
    <mergeCell ref="A238:B238"/>
    <mergeCell ref="A239:B239"/>
    <mergeCell ref="A240:B240"/>
    <mergeCell ref="A242:B242"/>
    <mergeCell ref="A243:B243"/>
    <mergeCell ref="A217:B217"/>
    <mergeCell ref="A218:B218"/>
    <mergeCell ref="A220:B220"/>
    <mergeCell ref="A221:B221"/>
    <mergeCell ref="A227:B227"/>
    <mergeCell ref="A232:B232"/>
    <mergeCell ref="A266:B266"/>
    <mergeCell ref="A267:B267"/>
    <mergeCell ref="A273:B273"/>
    <mergeCell ref="E273:F273"/>
    <mergeCell ref="A274:B274"/>
    <mergeCell ref="E274:F274"/>
    <mergeCell ref="A249:B249"/>
    <mergeCell ref="A250:B250"/>
    <mergeCell ref="A256:B256"/>
    <mergeCell ref="A257:B257"/>
    <mergeCell ref="A263:B263"/>
    <mergeCell ref="A264:B264"/>
    <mergeCell ref="A284:B284"/>
    <mergeCell ref="E285:F285"/>
    <mergeCell ref="A286:B286"/>
    <mergeCell ref="A287:B287"/>
    <mergeCell ref="E287:F287"/>
    <mergeCell ref="A279:B279"/>
    <mergeCell ref="A280:B280"/>
    <mergeCell ref="E280:F280"/>
    <mergeCell ref="E281:F281"/>
    <mergeCell ref="E282:F282"/>
    <mergeCell ref="A283:B283"/>
    <mergeCell ref="E283:F283"/>
    <mergeCell ref="E303:F303"/>
    <mergeCell ref="E304:F304"/>
    <mergeCell ref="A305:B305"/>
    <mergeCell ref="E305:F305"/>
    <mergeCell ref="A289:B289"/>
    <mergeCell ref="E289:F289"/>
    <mergeCell ref="A295:B295"/>
    <mergeCell ref="A296:B296"/>
    <mergeCell ref="A301:B301"/>
    <mergeCell ref="A302:B302"/>
    <mergeCell ref="E302:F302"/>
    <mergeCell ref="A315:B315"/>
    <mergeCell ref="A321:B321"/>
    <mergeCell ref="A323:B323"/>
    <mergeCell ref="A327:B327"/>
    <mergeCell ref="A328:B328"/>
    <mergeCell ref="A332:B332"/>
    <mergeCell ref="A306:B306"/>
    <mergeCell ref="A308:B308"/>
    <mergeCell ref="E308:F308"/>
    <mergeCell ref="A310:B310"/>
    <mergeCell ref="A314:B314"/>
    <mergeCell ref="E314:F314"/>
    <mergeCell ref="A351:B351"/>
    <mergeCell ref="A352:B352"/>
    <mergeCell ref="A355:B355"/>
    <mergeCell ref="A356:B356"/>
    <mergeCell ref="A358:B358"/>
    <mergeCell ref="A360:B360"/>
    <mergeCell ref="A333:B333"/>
    <mergeCell ref="A336:B336"/>
    <mergeCell ref="A338:B338"/>
    <mergeCell ref="A339:B339"/>
    <mergeCell ref="A345:B345"/>
    <mergeCell ref="A346:B346"/>
    <mergeCell ref="A378:B378"/>
    <mergeCell ref="A380:B380"/>
    <mergeCell ref="A382:B382"/>
    <mergeCell ref="A383:B383"/>
    <mergeCell ref="A389:B389"/>
    <mergeCell ref="A390:B390"/>
    <mergeCell ref="A361:B361"/>
    <mergeCell ref="A367:B367"/>
    <mergeCell ref="A368:B368"/>
    <mergeCell ref="A373:B373"/>
    <mergeCell ref="A374:B374"/>
    <mergeCell ref="A377:B377"/>
    <mergeCell ref="A406:B406"/>
    <mergeCell ref="A412:B412"/>
    <mergeCell ref="A413:B413"/>
    <mergeCell ref="A418:B418"/>
    <mergeCell ref="A419:B419"/>
    <mergeCell ref="A423:B423"/>
    <mergeCell ref="A395:B395"/>
    <mergeCell ref="A396:B396"/>
    <mergeCell ref="A399:B399"/>
    <mergeCell ref="A400:B400"/>
    <mergeCell ref="A403:B403"/>
    <mergeCell ref="A405:B405"/>
    <mergeCell ref="A456:B456"/>
    <mergeCell ref="A457:B457"/>
    <mergeCell ref="A441:B441"/>
    <mergeCell ref="A442:B442"/>
    <mergeCell ref="A447:B447"/>
    <mergeCell ref="A450:B450"/>
    <mergeCell ref="A452:B452"/>
    <mergeCell ref="A453:B453"/>
    <mergeCell ref="A424:B424"/>
    <mergeCell ref="A426:B426"/>
    <mergeCell ref="A428:B428"/>
    <mergeCell ref="A429:B429"/>
    <mergeCell ref="A435:B435"/>
    <mergeCell ref="A436:B436"/>
  </mergeCells>
  <pageMargins left="0.51181102362204722" right="0.51181102362204722" top="0.55118110236220474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2019-04-01T05:32:01Z</dcterms:modified>
</cp:coreProperties>
</file>